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RAGOZA\"/>
    </mc:Choice>
  </mc:AlternateContent>
  <workbookProtection workbookAlgorithmName="SHA-512" workbookHashValue="5K2H3xQOJFlFVPgs6GllwXifu2vMfoaf9iQLmSUs6CbQqQuGq3Kn3gCc0XK+nwy+RjrIfYUIU3NTyKp3D5+Wvg==" workbookSaltValue="+TxU05PmlEmDbnPwucwGD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BD11" i="13" s="1"/>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H13" i="12" s="1"/>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AL16" i="11" s="1"/>
  <c r="G17" i="2"/>
  <c r="E15" i="2"/>
  <c r="AO15" i="11" s="1"/>
  <c r="E16" i="2"/>
  <c r="E17" i="2"/>
  <c r="B17" i="6" s="1"/>
  <c r="C16" i="2"/>
  <c r="C17" i="2"/>
  <c r="AO17" i="11" s="1"/>
  <c r="I9" i="2"/>
  <c r="I10" i="2"/>
  <c r="I11" i="2"/>
  <c r="I12" i="2"/>
  <c r="C10" i="2"/>
  <c r="C11" i="2"/>
  <c r="D11" i="2" s="1"/>
  <c r="C12" i="2"/>
  <c r="D12" i="2" s="1"/>
  <c r="G9" i="2"/>
  <c r="G10" i="2"/>
  <c r="G11" i="2"/>
  <c r="C11" i="6" s="1"/>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BG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G12" i="12" s="1"/>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F17" i="8"/>
  <c r="B13" i="7"/>
  <c r="E18" i="12"/>
  <c r="EL19" i="8"/>
  <c r="AP12" i="11"/>
  <c r="EN19" i="8"/>
  <c r="F12" i="21"/>
  <c r="G10" i="3"/>
  <c r="BA13" i="16"/>
  <c r="AP10" i="11"/>
  <c r="Y12" i="11"/>
  <c r="T10" i="21"/>
  <c r="ES19" i="8"/>
  <c r="G18" i="12"/>
  <c r="C18" i="7"/>
  <c r="BM19" i="8"/>
  <c r="AL13" i="16"/>
  <c r="S13" i="16"/>
  <c r="P13" i="16"/>
  <c r="AM13" i="20"/>
  <c r="Z13" i="17"/>
  <c r="M18" i="2"/>
  <c r="F13" i="7"/>
  <c r="T13" i="12"/>
  <c r="BG10" i="8"/>
  <c r="BD9" i="8"/>
  <c r="BA13" i="8"/>
  <c r="E13" i="17"/>
  <c r="T13" i="20"/>
  <c r="T13" i="16"/>
  <c r="AP13" i="16"/>
  <c r="BG15" i="13"/>
  <c r="BE16" i="13"/>
  <c r="F20" i="20"/>
  <c r="AE20" i="20"/>
  <c r="L20" i="20"/>
  <c r="AP20" i="20"/>
  <c r="AF20" i="20"/>
  <c r="O20" i="20"/>
  <c r="Q20" i="20"/>
  <c r="AG20" i="20"/>
  <c r="O16" i="11"/>
  <c r="AQ20" i="21"/>
  <c r="G18" i="14"/>
  <c r="Z20" i="20"/>
  <c r="AM20" i="20"/>
  <c r="AB20" i="20"/>
  <c r="P20" i="20"/>
  <c r="W20" i="21"/>
  <c r="R20" i="20"/>
  <c r="O10" i="11"/>
  <c r="J20" i="20"/>
  <c r="M20" i="20"/>
  <c r="AH20" i="20"/>
  <c r="T20" i="21"/>
  <c r="I20" i="20"/>
  <c r="AJ20" i="20"/>
  <c r="W20" i="20"/>
  <c r="AO20" i="20"/>
  <c r="AU20" i="20"/>
  <c r="Y20" i="20"/>
  <c r="AV20" i="20"/>
  <c r="AQ20" i="20"/>
  <c r="AK20" i="20"/>
  <c r="E20" i="20"/>
  <c r="BM18" i="16" l="1"/>
  <c r="AV18" i="21"/>
  <c r="I19" i="8"/>
  <c r="AC10" i="11"/>
  <c r="AE19" i="8"/>
  <c r="BF9" i="8"/>
  <c r="BG9" i="8"/>
  <c r="K9" i="7"/>
  <c r="E9" i="6"/>
  <c r="K9" i="12" s="1"/>
  <c r="J10" i="2"/>
  <c r="BE11" i="13"/>
  <c r="F15" i="16"/>
  <c r="BL15" i="16" s="1"/>
  <c r="BE12" i="21"/>
  <c r="AL9" i="11"/>
  <c r="E11" i="6"/>
  <c r="AO9" i="11"/>
  <c r="BE9" i="13"/>
  <c r="R8" i="9"/>
  <c r="X10" i="17"/>
  <c r="X13" i="20"/>
  <c r="U10" i="21"/>
  <c r="X16" i="20"/>
  <c r="S10" i="17"/>
  <c r="X9" i="16"/>
  <c r="X19" i="16" s="1"/>
  <c r="S10" i="14"/>
  <c r="V10" i="14" s="1"/>
  <c r="R10" i="14"/>
  <c r="R16" i="14"/>
  <c r="T9" i="11"/>
  <c r="T15" i="11"/>
  <c r="AA17" i="16"/>
  <c r="S11" i="17"/>
  <c r="V12" i="16"/>
  <c r="AZ15" i="11"/>
  <c r="AZ18" i="11" s="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H19" i="21"/>
  <c r="Z19" i="8"/>
  <c r="H12" i="2"/>
  <c r="AM9" i="11"/>
  <c r="C18" i="2"/>
  <c r="D18" i="2" s="1"/>
  <c r="L16" i="14"/>
  <c r="I15" i="3"/>
  <c r="G12" i="3"/>
  <c r="K10" i="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K15" i="7" s="1"/>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C13" i="5"/>
  <c r="BG16" i="8"/>
  <c r="BD16" i="8"/>
  <c r="H16" i="7" s="1"/>
  <c r="F12" i="2"/>
  <c r="AO12" i="11"/>
  <c r="K10" i="12"/>
  <c r="L12" i="14"/>
  <c r="I12" i="7"/>
  <c r="C12" i="6"/>
  <c r="I12" i="12" s="1"/>
  <c r="B12" i="6"/>
  <c r="AO12" i="17"/>
  <c r="L10" i="14"/>
  <c r="B10" i="6"/>
  <c r="I10" i="7"/>
  <c r="T18" i="12"/>
  <c r="AJ19" i="8"/>
  <c r="AL19" i="8"/>
  <c r="G17" i="3"/>
  <c r="G15" i="3"/>
  <c r="G13" i="2"/>
  <c r="K12" i="7"/>
  <c r="J12" i="7"/>
  <c r="E13" i="2"/>
  <c r="F13" i="2" s="1"/>
  <c r="F10" i="2"/>
  <c r="AN10" i="11"/>
  <c r="D16" i="6"/>
  <c r="E12" i="3"/>
  <c r="E16" i="3"/>
  <c r="AL10" i="11"/>
  <c r="H18" i="3"/>
  <c r="I18" i="3" s="1"/>
  <c r="AH19" i="8"/>
  <c r="H10" i="2"/>
  <c r="W13" i="17"/>
  <c r="X13" i="17" s="1"/>
  <c r="AG13" i="16"/>
  <c r="I17" i="3"/>
  <c r="E17" i="3"/>
  <c r="J11" i="7"/>
  <c r="AI18" i="11"/>
  <c r="AG13" i="11"/>
  <c r="H18" i="12"/>
  <c r="I10" i="10"/>
  <c r="K10" i="10" s="1"/>
  <c r="D9" i="12"/>
  <c r="E12" i="12"/>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Q13" i="21"/>
  <c r="BC19" i="19"/>
  <c r="AL19" i="19"/>
  <c r="AR19" i="19"/>
  <c r="EL19" i="19"/>
  <c r="S19" i="19"/>
  <c r="AA19" i="19"/>
  <c r="AI19" i="19"/>
  <c r="BK19" i="19"/>
  <c r="CL19" i="19"/>
  <c r="AG13" i="21"/>
  <c r="Q19" i="19"/>
  <c r="AN19" i="19"/>
  <c r="AC19" i="17"/>
  <c r="AV13" i="17"/>
  <c r="F11" i="17"/>
  <c r="AQ11" i="17" s="1"/>
  <c r="AX20" i="20"/>
  <c r="T20" i="20"/>
  <c r="X20" i="20"/>
  <c r="U10" i="11"/>
  <c r="AI20" i="20"/>
  <c r="AL20" i="20"/>
  <c r="H20" i="20"/>
  <c r="U16" i="11"/>
  <c r="K20" i="20"/>
  <c r="U12" i="11"/>
  <c r="AN20" i="20"/>
  <c r="S20" i="20"/>
  <c r="N20" i="20"/>
  <c r="AD20" i="20"/>
  <c r="AZ20" i="20"/>
  <c r="G13" i="14"/>
  <c r="AA20" i="20"/>
  <c r="K16" i="12" l="1"/>
  <c r="I11" i="12"/>
  <c r="K15" i="12"/>
  <c r="J12" i="12"/>
  <c r="X12" i="21"/>
  <c r="AP16" i="20"/>
  <c r="BH9" i="16"/>
  <c r="V15" i="11"/>
  <c r="BJ17" i="11"/>
  <c r="BH15" i="11"/>
  <c r="BH15" i="16"/>
  <c r="Q17" i="20"/>
  <c r="Q18" i="20" s="1"/>
  <c r="V11" i="16"/>
  <c r="BF17" i="11"/>
  <c r="BF16" i="11"/>
  <c r="S17" i="16"/>
  <c r="BL12" i="11"/>
  <c r="V12" i="21"/>
  <c r="BK15" i="11"/>
  <c r="S9" i="17"/>
  <c r="V11" i="11"/>
  <c r="BI10" i="11"/>
  <c r="Q10" i="21"/>
  <c r="Q13" i="21" s="1"/>
  <c r="Q19" i="21" s="1"/>
  <c r="S16" i="14"/>
  <c r="V16" i="14" s="1"/>
  <c r="V9" i="11"/>
  <c r="BJ11" i="11"/>
  <c r="R10" i="21"/>
  <c r="BJ12" i="11"/>
  <c r="AP15" i="20"/>
  <c r="BG15" i="11"/>
  <c r="R17" i="20"/>
  <c r="R18" i="20" s="1"/>
  <c r="BK17" i="11"/>
  <c r="T17" i="16"/>
  <c r="T15" i="16"/>
  <c r="BU11" i="17"/>
  <c r="BV17" i="16"/>
  <c r="BU10" i="17"/>
  <c r="BV12" i="16"/>
  <c r="BW12" i="20"/>
  <c r="BV11" i="16"/>
  <c r="BW11" i="20"/>
  <c r="U10" i="17"/>
  <c r="BW10" i="20"/>
  <c r="BU16" i="17"/>
  <c r="BV9" i="16"/>
  <c r="S12" i="14"/>
  <c r="V12" i="14" s="1"/>
  <c r="AZ12" i="11"/>
  <c r="S11" i="14"/>
  <c r="V11" i="14" s="1"/>
  <c r="T16" i="11"/>
  <c r="BG12" i="11"/>
  <c r="Q17" i="17"/>
  <c r="BH10" i="11"/>
  <c r="BI9" i="11"/>
  <c r="AQ10" i="21"/>
  <c r="T12" i="11"/>
  <c r="BJ10" i="11"/>
  <c r="BK16" i="11"/>
  <c r="BH11" i="11"/>
  <c r="BG16" i="11"/>
  <c r="T11" i="11"/>
  <c r="BH16" i="11"/>
  <c r="AQ12" i="21"/>
  <c r="BJ16" i="11"/>
  <c r="BL16" i="11"/>
  <c r="AA10" i="16"/>
  <c r="S15" i="17"/>
  <c r="S16" i="17"/>
  <c r="L12" i="2"/>
  <c r="L17" i="2"/>
  <c r="X15" i="16"/>
  <c r="X18" i="16" s="1"/>
  <c r="BF11" i="11"/>
  <c r="BL9" i="11"/>
  <c r="BG10" i="11"/>
  <c r="P17" i="17"/>
  <c r="BK12" i="11"/>
  <c r="BK9" i="11"/>
  <c r="X11" i="17"/>
  <c r="X9" i="17"/>
  <c r="BM12" i="11"/>
  <c r="S9" i="14"/>
  <c r="V9" i="14" s="1"/>
  <c r="BJ15" i="11"/>
  <c r="BJ18" i="11" s="1"/>
  <c r="BI17" i="11"/>
  <c r="BL11" i="11"/>
  <c r="BM15" i="11"/>
  <c r="BU15" i="17"/>
  <c r="BW17" i="20"/>
  <c r="BW16" i="20"/>
  <c r="BW15" i="20"/>
  <c r="BV10" i="16"/>
  <c r="BU12" i="17"/>
  <c r="AZ16" i="11"/>
  <c r="AZ11" i="11"/>
  <c r="S15" i="16"/>
  <c r="BF12" i="11"/>
  <c r="BL10" i="11"/>
  <c r="BH10" i="16"/>
  <c r="BM17" i="11"/>
  <c r="S17" i="17"/>
  <c r="BH12" i="16"/>
  <c r="L10" i="2"/>
  <c r="L16" i="2"/>
  <c r="U9" i="17"/>
  <c r="U19" i="17" s="1"/>
  <c r="L9" i="2"/>
  <c r="AA9" i="16"/>
  <c r="T17" i="11"/>
  <c r="BH11" i="16"/>
  <c r="BH17" i="16"/>
  <c r="BM16" i="11"/>
  <c r="BL17" i="11"/>
  <c r="P17" i="11" s="1"/>
  <c r="BF10" i="11"/>
  <c r="BK11" i="11"/>
  <c r="AP10" i="21"/>
  <c r="BH9" i="11"/>
  <c r="BI15" i="11"/>
  <c r="X17" i="20"/>
  <c r="BG9" i="11"/>
  <c r="BH17" i="11"/>
  <c r="AP17" i="20"/>
  <c r="BW9" i="20"/>
  <c r="BV16" i="16"/>
  <c r="BV15" i="16"/>
  <c r="BU9" i="17"/>
  <c r="BU17" i="17"/>
  <c r="AA16" i="16"/>
  <c r="X15" i="17"/>
  <c r="X17" i="17"/>
  <c r="P15" i="17"/>
  <c r="BL15" i="11"/>
  <c r="Q15" i="11" s="1"/>
  <c r="R11" i="14"/>
  <c r="Q15" i="17"/>
  <c r="BF15" i="11"/>
  <c r="BM9" i="11"/>
  <c r="BK10" i="11"/>
  <c r="L15" i="2"/>
  <c r="X10" i="21"/>
  <c r="X19" i="21" s="1"/>
  <c r="AA11" i="16"/>
  <c r="V9" i="16"/>
  <c r="V10" i="21"/>
  <c r="V13" i="21" s="1"/>
  <c r="V19" i="21" s="1"/>
  <c r="AP13" i="20"/>
  <c r="AM12" i="11"/>
  <c r="AP18" i="20"/>
  <c r="AO16" i="17"/>
  <c r="AO10" i="17"/>
  <c r="AZ17" i="11"/>
  <c r="AZ9" i="11"/>
  <c r="V10" i="16"/>
  <c r="V15" i="16"/>
  <c r="X12" i="17"/>
  <c r="S15" i="14"/>
  <c r="V15" i="14" s="1"/>
  <c r="AO17" i="17"/>
  <c r="R12" i="14"/>
  <c r="R13" i="14" s="1"/>
  <c r="S17" i="14"/>
  <c r="V17" i="14" s="1"/>
  <c r="V15" i="20"/>
  <c r="V18" i="20" s="1"/>
  <c r="L11" i="2"/>
  <c r="V17" i="16"/>
  <c r="AA12" i="21"/>
  <c r="T17" i="20"/>
  <c r="AA15" i="16"/>
  <c r="X16" i="17"/>
  <c r="R17" i="14"/>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P16" i="11"/>
  <c r="Y13" i="11"/>
  <c r="AC16" i="11"/>
  <c r="K13" i="11"/>
  <c r="N18" i="11"/>
  <c r="P12" i="11"/>
  <c r="AZ10" i="11"/>
  <c r="AT18" i="11"/>
  <c r="M13" i="11"/>
  <c r="L13" i="11"/>
  <c r="AP16" i="11"/>
  <c r="Z18" i="11"/>
  <c r="AB13" i="11"/>
  <c r="AI21"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K18" i="11"/>
  <c r="K12" i="12"/>
  <c r="AJ18" i="11"/>
  <c r="D18" i="5"/>
  <c r="F16" i="2"/>
  <c r="H16" i="2"/>
  <c r="J16" i="2"/>
  <c r="F13" i="3"/>
  <c r="E9" i="3"/>
  <c r="G9" i="3"/>
  <c r="AO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BE21" i="21"/>
  <c r="AS13" i="20"/>
  <c r="I18" i="20"/>
  <c r="I19" i="20" s="1"/>
  <c r="BC19" i="21"/>
  <c r="AZ19" i="19"/>
  <c r="AD13" i="21"/>
  <c r="AD19" i="21" s="1"/>
  <c r="Z13" i="2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I18" i="16"/>
  <c r="D19" i="12"/>
  <c r="BF13" i="8"/>
  <c r="AY19" i="8"/>
  <c r="P9" i="11"/>
  <c r="D11" i="6"/>
  <c r="J11" i="12" s="1"/>
  <c r="E11" i="3"/>
  <c r="Q12" i="11"/>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V13" i="14"/>
  <c r="Y13" i="14"/>
  <c r="AA13" i="14"/>
  <c r="W13" i="14"/>
  <c r="P13" i="14"/>
  <c r="Q13" i="14"/>
  <c r="X13" i="14"/>
  <c r="AC13" i="14"/>
  <c r="AB13" i="14"/>
  <c r="V16" i="11"/>
  <c r="U18" i="11"/>
  <c r="AA18" i="14"/>
  <c r="V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Q10" i="11" l="1"/>
  <c r="BW21" i="20"/>
  <c r="T18" i="16"/>
  <c r="T19" i="16" s="1"/>
  <c r="BH18" i="11"/>
  <c r="S18" i="14"/>
  <c r="S13" i="14"/>
  <c r="BL18" i="11"/>
  <c r="P15" i="11"/>
  <c r="BF18" i="11"/>
  <c r="P18" i="17"/>
  <c r="P19" i="17" s="1"/>
  <c r="BV13" i="16"/>
  <c r="BU21" i="17"/>
  <c r="Q16" i="11"/>
  <c r="AZ13" i="11"/>
  <c r="AZ19" i="11"/>
  <c r="S18" i="16"/>
  <c r="S19" i="16" s="1"/>
  <c r="R13" i="21"/>
  <c r="R19" i="21" s="1"/>
  <c r="R19" i="20"/>
  <c r="Q18" i="17"/>
  <c r="Q19" i="17" s="1"/>
  <c r="BK13" i="11"/>
  <c r="BK19" i="11" s="1"/>
  <c r="AN21" i="20"/>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BC20" i="21"/>
  <c r="BA20" i="16"/>
  <c r="AA20" i="11"/>
  <c r="AH20" i="21"/>
  <c r="AB20" i="11"/>
  <c r="M20" i="17"/>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AR20" i="11"/>
  <c r="E20" i="12"/>
  <c r="A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BM19" i="1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<sst xmlns="http://schemas.openxmlformats.org/spreadsheetml/2006/main" count="2080" uniqueCount="912">
  <si>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</si>
  <si>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</si>
  <si>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</si>
  <si>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</si>
  <si>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</si>
  <si>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</si>
  <si>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</si>
  <si>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</si>
  <si>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</si>
  <si>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</si>
  <si>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</si>
  <si>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</si>
  <si>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</si>
  <si>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</si>
  <si>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</si>
  <si>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</si>
  <si>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</si>
  <si>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</si>
  <si>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</si>
  <si>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</si>
  <si>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</si>
  <si>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</si>
  <si>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</si>
  <si>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</si>
  <si>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</si>
  <si>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</si>
  <si>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</si>
  <si>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</si>
  <si>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</si>
  <si>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</si>
  <si>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</si>
  <si>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</si>
  <si>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</si>
  <si>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</si>
  <si>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</si>
  <si>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</si>
  <si>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</si>
  <si>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</si>
  <si>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</si>
  <si>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</si>
  <si>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</si>
  <si>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</si>
  <si>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</si>
  <si>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</si>
  <si>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</si>
  <si>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</si>
  <si>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</si>
  <si>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</si>
  <si>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</si>
  <si>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</si>
  <si>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</si>
  <si>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</si>
  <si>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</si>
  <si>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</si>
  <si>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</si>
  <si>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</si>
  <si>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</si>
  <si>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</si>
  <si>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</si>
  <si>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</si>
  <si>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</si>
  <si>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</si>
  <si>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</si>
  <si>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</si>
  <si>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</si>
  <si>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</si>
  <si>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</si>
  <si>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</si>
  <si>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</si>
  <si>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</si>
  <si>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</si>
  <si>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</si>
  <si>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</si>
  <si>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</si>
  <si>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</si>
  <si>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</si>
  <si>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</si>
  <si>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</si>
  <si>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</si>
  <si>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</si>
  <si>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</si>
  <si>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</si>
  <si>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</si>
  <si>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</si>
  <si>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</si>
  <si>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</si>
  <si>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</si>
  <si>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</si>
  <si>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</si>
  <si>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</si>
  <si>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</si>
  <si>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</si>
  <si>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</si>
  <si>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</si>
  <si>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</si>
  <si>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</si>
  <si>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</si>
  <si>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</si>
  <si>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</si>
  <si>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</si>
  <si>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</si>
  <si>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</si>
  <si>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</si>
  <si>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</si>
  <si>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</si>
  <si>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</si>
  <si>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</si>
  <si>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</si>
  <si>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</si>
  <si>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</si>
  <si>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</si>
  <si>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</si>
  <si>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</si>
  <si>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</si>
  <si>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</si>
  <si>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</si>
  <si>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</si>
  <si>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</si>
  <si>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</si>
  <si>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</si>
  <si>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</si>
  <si>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</si>
  <si>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</si>
  <si>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</si>
  <si>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</si>
  <si>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</si>
  <si>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</si>
  <si>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</si>
  <si>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</si>
  <si>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</si>
  <si>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</si>
  <si>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</si>
  <si>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</si>
  <si>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</si>
  <si>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</si>
  <si>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</si>
  <si>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</si>
  <si>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</si>
  <si>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</si>
  <si>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</si>
  <si>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</si>
  <si>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</si>
  <si>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</si>
  <si>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</si>
  <si>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</si>
  <si>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</si>
  <si>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</si>
  <si>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</si>
  <si>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</si>
  <si>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</si>
  <si>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</si>
  <si>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</si>
  <si>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</si>
  <si>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</si>
  <si>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</si>
  <si>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</si>
  <si>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</si>
  <si>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</si>
  <si>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</si>
  <si>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</si>
  <si>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</si>
  <si>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</si>
  <si>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</si>
  <si>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</si>
  <si>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</si>
  <si>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</si>
  <si>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</si>
  <si>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</si>
  <si>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</si>
  <si>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</si>
  <si>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</si>
  <si>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</si>
  <si>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</si>
  <si>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</si>
  <si>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</si>
  <si>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</si>
  <si>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</si>
  <si>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</si>
  <si>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</si>
  <si>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</si>
  <si>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</si>
  <si>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</si>
  <si>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</si>
  <si>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</si>
  <si>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</si>
  <si>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</si>
  <si>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</si>
  <si>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</si>
  <si>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</si>
  <si>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</si>
  <si>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</si>
  <si>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</si>
  <si>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</si>
  <si>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</si>
  <si>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</si>
  <si>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</si>
  <si>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</si>
  <si>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</si>
  <si>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</si>
  <si>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</si>
  <si>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</si>
  <si>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</si>
  <si>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</si>
  <si>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</si>
  <si>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</si>
  <si>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</si>
  <si>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</si>
  <si>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</si>
  <si>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</si>
  <si>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</si>
  <si>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</si>
  <si>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</si>
  <si>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</si>
  <si>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</si>
  <si>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</si>
  <si>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</si>
  <si>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</si>
  <si>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</si>
  <si>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</si>
  <si>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</si>
  <si>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</si>
  <si>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</si>
  <si>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</si>
  <si>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</si>
  <si>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</si>
  <si>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</si>
  <si>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</si>
  <si>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</si>
  <si>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</si>
  <si>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</si>
  <si>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</si>
  <si>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</si>
  <si>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</si>
  <si>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</si>
  <si>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</si>
  <si>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</si>
  <si>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</si>
  <si>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</si>
  <si>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</si>
  <si>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</si>
  <si>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</si>
  <si>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</si>
  <si>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</si>
  <si>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</si>
  <si>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</si>
  <si>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</si>
  <si>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</si>
  <si>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</si>
  <si>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</si>
  <si>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</si>
  <si>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</si>
  <si>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</si>
  <si>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</si>
  <si>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</si>
  <si>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</si>
  <si>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</si>
  <si>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</si>
  <si>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</si>
  <si>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</si>
  <si>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</si>
  <si>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</si>
  <si>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</si>
  <si>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</si>
  <si>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</si>
  <si>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</si>
  <si>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</si>
  <si>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</si>
  <si>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</si>
  <si>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</si>
  <si>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</si>
  <si>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</si>
  <si>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</si>
  <si>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</si>
  <si>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</si>
  <si>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</si>
  <si>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</si>
  <si>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</si>
  <si>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</si>
  <si>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</si>
  <si>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</si>
  <si>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</si>
  <si>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</si>
  <si>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</si>
  <si>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</si>
  <si>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</si>
  <si>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</si>
  <si>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</si>
  <si>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</si>
  <si>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</si>
  <si>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</si>
  <si>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</si>
  <si>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</si>
  <si>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</si>
  <si>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</si>
  <si>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</si>
  <si>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</si>
  <si>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</si>
  <si>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</si>
  <si>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</si>
  <si>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</si>
  <si>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</si>
  <si>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</si>
  <si>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</si>
  <si>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</si>
  <si>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</si>
  <si>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</si>
  <si>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</si>
  <si>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</si>
  <si>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</si>
  <si>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</si>
  <si>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</si>
  <si>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</si>
  <si>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</si>
  <si>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</si>
  <si>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</si>
  <si>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</si>
  <si>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</si>
  <si>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</si>
  <si>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</si>
  <si>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</si>
  <si>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</si>
  <si>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</si>
  <si>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</si>
  <si>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</si>
  <si>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</si>
  <si>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</si>
  <si>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</si>
  <si>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</si>
  <si>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</si>
  <si>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</si>
  <si>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</si>
  <si>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</si>
  <si>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</si>
  <si>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</si>
  <si>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</si>
  <si>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</si>
  <si>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</si>
  <si>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</si>
  <si>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</si>
  <si>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</si>
  <si>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</si>
  <si>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</si>
  <si>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</si>
  <si>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</si>
  <si>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</si>
  <si>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</si>
  <si>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</si>
  <si>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</si>
  <si>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</si>
  <si>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</si>
  <si>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</si>
  <si>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</si>
  <si>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</si>
  <si>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</si>
  <si>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</si>
  <si>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</si>
  <si>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</si>
  <si>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</si>
  <si>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</si>
  <si>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</si>
  <si>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</si>
  <si>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</si>
  <si>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</si>
  <si>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</si>
  <si>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</si>
  <si>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</si>
  <si>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</si>
  <si>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</si>
  <si>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</si>
  <si>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</si>
  <si>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</si>
  <si>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</si>
  <si>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</si>
  <si>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</si>
  <si>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</si>
  <si>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</si>
  <si>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</si>
  <si>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</si>
  <si>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</si>
  <si>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</si>
  <si>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</si>
  <si>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</si>
  <si>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</si>
  <si>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</si>
  <si>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</si>
  <si>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</si>
  <si>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</si>
  <si>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</si>
  <si>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</si>
  <si>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</si>
  <si>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</si>
  <si>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</si>
  <si>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</si>
  <si>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</si>
  <si>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</si>
  <si>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</si>
  <si>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</si>
  <si>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</si>
  <si>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</si>
  <si>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</si>
  <si>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</si>
  <si>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</si>
  <si>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</si>
  <si>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</si>
  <si>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</si>
  <si>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</si>
  <si>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</si>
  <si>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</si>
  <si>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</si>
  <si>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</si>
  <si>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</si>
  <si>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</si>
  <si>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</si>
  <si>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</si>
  <si>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</si>
  <si>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</si>
  <si>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</si>
  <si>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</si>
  <si>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</si>
  <si>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</si>
  <si>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</si>
  <si>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</si>
  <si>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</si>
  <si>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</si>
  <si>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</si>
  <si>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</si>
  <si>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</si>
  <si>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</si>
  <si>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</si>
  <si>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</si>
  <si>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</si>
  <si>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</si>
  <si>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</si>
  <si>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</si>
  <si>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</si>
  <si>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</si>
  <si>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</si>
  <si>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</si>
  <si>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</si>
  <si>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</si>
  <si>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</si>
  <si>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</si>
  <si>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</si>
  <si>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</si>
  <si>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</si>
  <si>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</si>
  <si>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</si>
  <si>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</si>
  <si>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</si>
  <si>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</si>
  <si>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</si>
  <si>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</si>
  <si>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</si>
  <si>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</si>
  <si>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</si>
  <si>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</si>
  <si>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</si>
  <si>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</si>
  <si>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</si>
  <si>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</si>
  <si>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</si>
  <si>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</si>
  <si>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</si>
  <si>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</si>
  <si>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</si>
  <si>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</si>
  <si>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</si>
  <si>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</si>
  <si>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</si>
  <si>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</si>
  <si>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</si>
  <si>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</si>
  <si>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</si>
  <si>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</si>
  <si>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</si>
  <si>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</si>
  <si>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</si>
  <si>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</si>
  <si>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</si>
  <si>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</si>
  <si>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</si>
  <si>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</si>
  <si>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</si>
  <si>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</si>
  <si>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</si>
  <si>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</si>
  <si>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</si>
  <si>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</si>
  <si>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</si>
  <si>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</si>
  <si>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</si>
  <si>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</si>
  <si>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</si>
  <si>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</si>
  <si>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</si>
  <si>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</si>
  <si>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</si>
  <si>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</si>
  <si>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</si>
  <si>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</si>
  <si>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</si>
  <si>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</si>
  <si>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</si>
  <si>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</si>
  <si>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</si>
  <si>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</si>
  <si>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</si>
  <si>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</si>
  <si>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</si>
  <si>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</si>
  <si>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</si>
  <si>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</si>
  <si>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</si>
  <si>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</si>
  <si>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</si>
  <si>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</si>
  <si>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</si>
  <si>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</si>
  <si>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</si>
  <si>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</si>
  <si>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</si>
  <si>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</si>
  <si>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</si>
  <si>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</si>
  <si>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</si>
  <si>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</si>
  <si>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</si>
  <si>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</si>
  <si>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</si>
  <si>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</si>
  <si>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</si>
  <si>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</si>
  <si>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</si>
  <si>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</si>
  <si>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</si>
  <si>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</si>
  <si>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</si>
  <si>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</si>
  <si>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</si>
  <si>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</si>
  <si>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</si>
  <si>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</si>
  <si>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</si>
  <si>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</si>
  <si>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</si>
  <si>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</si>
  <si>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</si>
  <si>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</si>
  <si>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</si>
  <si>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</si>
  <si>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</si>
  <si>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</si>
  <si>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</si>
  <si>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</si>
  <si>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</si>
  <si>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</si>
  <si>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</si>
  <si>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</si>
  <si>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</si>
  <si>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</si>
  <si>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</si>
  <si>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</si>
  <si>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</si>
  <si>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</si>
  <si>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</si>
  <si>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</si>
  <si>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</si>
  <si>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</si>
  <si>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</si>
  <si>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</si>
  <si>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</si>
  <si>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</si>
  <si>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</si>
  <si>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</si>
  <si>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</si>
  <si>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</si>
  <si>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</si>
  <si>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</si>
  <si>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</si>
  <si>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</si>
  <si>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</si>
  <si>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</si>
  <si>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</si>
  <si>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</si>
  <si>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</si>
  <si>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</si>
  <si>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</si>
  <si>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</si>
  <si>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</si>
  <si>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</si>
  <si>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</si>
  <si>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</si>
  <si>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</si>
  <si>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</si>
  <si>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</si>
  <si>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</si>
  <si>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</si>
  <si>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</si>
  <si>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</si>
  <si>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</si>
  <si>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</si>
  <si>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</si>
  <si>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</si>
  <si>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</si>
  <si>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</si>
  <si>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</si>
  <si>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</si>
  <si>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</si>
  <si>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</si>
  <si>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</si>
  <si>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</si>
  <si>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</si>
  <si>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</si>
  <si>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</si>
  <si>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</si>
  <si>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</si>
  <si>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</si>
  <si>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</si>
  <si>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</si>
  <si>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</si>
  <si>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</si>
  <si>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</si>
  <si>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</si>
  <si>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</si>
  <si>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</si>
  <si>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</si>
  <si>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</si>
  <si>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</si>
  <si>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</si>
  <si>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</si>
  <si>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</si>
  <si>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</si>
  <si>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</si>
  <si>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</si>
  <si>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</si>
  <si>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</si>
  <si>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</si>
  <si>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</si>
  <si>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</si>
  <si>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</si>
  <si>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</si>
  <si>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</si>
  <si>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</si>
  <si>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</si>
  <si>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</si>
  <si>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</si>
  <si>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</si>
  <si>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</si>
  <si>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</si>
  <si>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</si>
  <si>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</si>
  <si>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</si>
  <si>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</si>
  <si>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</si>
  <si>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</si>
  <si>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</si>
  <si>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</si>
  <si>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</si>
  <si>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</si>
  <si>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</si>
  <si>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</si>
  <si>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</si>
  <si>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</si>
  <si>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</si>
  <si>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</si>
  <si>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</si>
  <si>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</si>
  <si>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</si>
  <si>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</si>
  <si>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</si>
  <si>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</si>
  <si>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</si>
  <si>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</si>
  <si>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</si>
  <si>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</si>
  <si>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</si>
  <si>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</si>
  <si>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</si>
  <si>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</si>
  <si>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</si>
  <si>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</si>
  <si>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</si>
  <si>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</si>
  <si>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</si>
  <si>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</si>
  <si>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</si>
  <si>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</si>
  <si>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</si>
  <si>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</si>
  <si>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</si>
  <si>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</si>
  <si>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</si>
  <si>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</si>
  <si>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</si>
  <si>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</si>
  <si>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</si>
  <si>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</si>
  <si>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</si>
  <si>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</si>
  <si>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</si>
  <si>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</si>
  <si>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</si>
  <si>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</si>
  <si>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</si>
  <si>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</si>
  <si>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</si>
  <si>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</si>
  <si>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</si>
  <si>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</si>
  <si>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</si>
  <si>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</si>
  <si>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</si>
  <si>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</si>
  <si>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</si>
  <si>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</si>
  <si>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</si>
  <si>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</si>
  <si>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</si>
  <si>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</si>
  <si>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</si>
  <si>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</si>
  <si>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</si>
  <si>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</si>
  <si>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</si>
  <si>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</si>
  <si>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</si>
  <si>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</si>
  <si>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</si>
  <si>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</si>
  <si>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</si>
  <si>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</si>
  <si>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</si>
  <si>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</si>
  <si>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</si>
  <si>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</si>
  <si>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</si>
  <si>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</si>
  <si>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</si>
  <si>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</si>
  <si>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</si>
  <si>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</si>
  <si>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</si>
  <si>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</si>
  <si>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</si>
  <si>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</si>
  <si>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</si>
  <si>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</si>
  <si>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</si>
  <si>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</si>
  <si>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</si>
  <si>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</si>
  <si>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</si>
  <si>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</si>
  <si>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</si>
  <si>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</si>
  <si>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</si>
  <si>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</si>
  <si>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</si>
  <si>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</si>
  <si>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</si>
  <si>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</si>
  <si>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</si>
  <si>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</si>
  <si>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</si>
  <si>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</si>
  <si>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</si>
  <si>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</si>
  <si>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</si>
  <si>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</si>
  <si>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</si>
  <si>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</si>
  <si>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</si>
  <si>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</si>
  <si>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</si>
  <si>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</si>
  <si>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</si>
  <si>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</si>
  <si>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</si>
  <si>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</si>
  <si>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</si>
  <si>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</si>
  <si>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</si>
  <si>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</si>
  <si>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</si>
  <si>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</si>
  <si>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</si>
  <si>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</si>
  <si>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</si>
  <si>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</si>
  <si>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</si>
  <si>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</si>
  <si>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</si>
  <si>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</si>
  <si>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</si>
  <si>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</si>
  <si>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</si>
  <si>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</si>
  <si>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</si>
  <si>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</si>
  <si>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</si>
  <si>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</si>
  <si>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</si>
  <si>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</si>
  <si>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</si>
  <si>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</si>
  <si>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</si>
  <si>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</si>
  <si>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</si>
  <si>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</si>
  <si>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</si>
  <si>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</si>
  <si>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</si>
  <si>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</si>
  <si>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</si>
  <si>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</si>
  <si>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</si>
  <si>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</si>
  <si>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</si>
  <si>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</si>
  <si>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</si>
  <si>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</si>
  <si>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</si>
  <si>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</si>
  <si>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</si>
  <si>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</si>
  <si>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</si>
  <si>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</si>
  <si>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</si>
  <si>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</si>
  <si>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</si>
  <si>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</si>
  <si>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</si>
  <si>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</si>
  <si>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</si>
  <si>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</si>
  <si>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</si>
  <si>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</si>
  <si>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</si>
  <si>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</si>
  <si>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</si>
  <si>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</si>
  <si>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</si>
  <si>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</si>
  <si>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</si>
  <si>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</si>
  <si>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</si>
  <si>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</si>
  <si>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</si>
  <si>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</si>
  <si>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</si>
  <si>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</si>
  <si>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</si>
  <si>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</si>
  <si>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</si>
  <si>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</si>
  <si>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</si>
  <si>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</si>
  <si>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</si>
  <si>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</si>
  <si>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</si>
  <si>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</si>
  <si>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</si>
  <si>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</si>
  <si>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</si>
  <si>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</si>
  <si>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</si>
  <si>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</si>
  <si>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</si>
  <si>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</si>
  <si>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</si>
  <si>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</si>
  <si>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</si>
  <si>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</si>
  <si>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</si>
  <si>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</si>
  <si>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</si>
  <si>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</si>
  <si>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</si>
  <si>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</si>
  <si>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</si>
  <si>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</si>
  <si>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</si>
  <si>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</si>
  <si>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</si>
  <si>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</si>
  <si>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</si>
  <si>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</si>
  <si>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</si>
  <si>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</si>
  <si>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</si>
  <si>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</si>
  <si>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</si>
  <si>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</si>
  <si>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</si>
  <si>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</si>
  <si>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</si>
  <si>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</si>
  <si>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</si>
  <si>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</si>
  <si>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</si>
  <si>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</si>
  <si>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</si>
  <si>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</si>
  <si>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</si>
  <si>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</si>
  <si>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</si>
  <si>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</si>
  <si>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</si>
  <si>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ARAGON</t>
  </si>
  <si>
    <t>Provincias</t>
  </si>
  <si>
    <t>ZARAGOZA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</si>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</sst>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910</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Qih9QnuqxEWSIWTEhkOSxo9txnXxvT7CJy8grTta/qhEYlHuK+7RPlwovNpqrOQYjSJQP1Dhttm0hl6rm/9IjA==" saltValue="c2kLGKyICODirWHak4jkn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ARAGON</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18</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35.827327963826484</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3</v>
      </c>
      <c r="B10" s="1254" t="str">
        <f>Datos!A10</f>
        <v>Jdos. Violencia contra la mujer</v>
      </c>
      <c r="C10" s="229">
        <f t="shared" si="0"/>
        <v>260</v>
      </c>
      <c r="D10" s="229">
        <f>IF(ISNUMBER(Datos!I10),Datos!I10," - ")</f>
        <v>260</v>
      </c>
      <c r="E10" s="230">
        <f>IF(ISNUMBER(Datos!J10),Datos!J10," - ")</f>
        <v>140</v>
      </c>
      <c r="F10" s="230">
        <f>IF(ISNUMBER(Datos!K10),Datos!K10," - ")</f>
        <v>117</v>
      </c>
      <c r="G10" s="1189" t="str">
        <f>IF(Datos!E10&lt;&gt;"",Datos!E10,Datos!D10)</f>
        <v>37</v>
      </c>
      <c r="H10" s="231">
        <f>IF(ISNUMBER(Datos!L10),Datos!L10," - ")</f>
        <v>283</v>
      </c>
      <c r="I10" s="1199" t="str">
        <f>IF(ISNUMBER(Datos!AS10/Datos!BM10),Datos!AS10/Datos!BM10," - ")</f>
        <v xml:space="preserve"> - </v>
      </c>
      <c r="J10" s="1200">
        <f>IF(ISNUMBER(Datos!BY10/Datos!CN10),Datos!BY10/Datos!CN10," - ")</f>
        <v>0</v>
      </c>
      <c r="K10" s="234">
        <f t="shared" ref="K10:K12" si="1">IF(ISNUMBER((E10-F10)/C10),(E10-F10)/C10," - ")</f>
        <v>8.8461538461538466E-2</v>
      </c>
      <c r="L10" s="1201">
        <f>IF(ISNUMBER(NºAsuntos!I10/NºAsuntos!G10),(NºAsuntos!I10/NºAsuntos!G10)*11," - ")</f>
        <v>26.606837606837605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4</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17.160455486542443</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260</v>
      </c>
      <c r="D13" s="1206">
        <f>SUBTOTAL(9,D9:D12)</f>
        <v>260</v>
      </c>
      <c r="E13" s="1207">
        <f>SUBTOTAL(9,E9:E12)</f>
        <v>140</v>
      </c>
      <c r="F13" s="1208">
        <f>SUBTOTAL(9,F9:F12)</f>
        <v>117</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12</v>
      </c>
      <c r="B15" s="1254" t="str">
        <f>Datos!A15</f>
        <v xml:space="preserve">Jdos. Instrucción                               </v>
      </c>
      <c r="C15" s="229">
        <f t="shared" ref="C15:C17" si="2">IF(ISNUMBER(H15-E15+F15),H15-E15+F15," - ")</f>
        <v>5418</v>
      </c>
      <c r="D15" s="229">
        <f>IF(ISNUMBER(IF(D_I="SI",Datos!I15,Datos!I15+Datos!AC15)),IF(D_I="SI",Datos!I15,Datos!I15+Datos!AC15)," - ")</f>
        <v>5260</v>
      </c>
      <c r="E15" s="230">
        <f>IF(ISNUMBER(IF(D_I="SI",Datos!J15,Datos!J15+Datos!AD15)),IF(D_I="SI",Datos!J15,Datos!J15+Datos!AD15)," - ")</f>
        <v>10519</v>
      </c>
      <c r="F15" s="230">
        <f>IF(ISNUMBER(IF(D_I="SI",Datos!K15,Datos!K15+Datos!AE15)),IF(D_I="SI",Datos!K15,Datos!K15+Datos!AE15)," - ")</f>
        <v>10094</v>
      </c>
      <c r="G15" s="1189" t="str">
        <f>IF(Datos!E15&lt;&gt;"",Datos!E15,Datos!D15)</f>
        <v>03</v>
      </c>
      <c r="H15" s="231">
        <f>IF(ISNUMBER(IF(D_I="SI",Datos!L15,Datos!L15+Datos!AF15)),IF(D_I="SI",Datos!L15,Datos!L15+Datos!AF15)," - ")</f>
        <v>5843</v>
      </c>
      <c r="I15" s="1199" t="str">
        <f>IF(ISNUMBER(Datos!AS15/Datos!BM15),Datos!AS15/Datos!BM15," - ")</f>
        <v xml:space="preserve"> - </v>
      </c>
      <c r="J15" s="1200">
        <f>IF(ISNUMBER(Datos!BY15/Datos!CN15),Datos!BY15/Datos!CN15," - ")</f>
        <v>0</v>
      </c>
      <c r="K15" s="234">
        <f t="shared" ref="K15:K17" si="3">IF(ISNUMBER((E15-F15)/C15),(E15-F15)/C15," - ")</f>
        <v>7.84422296050203E-2</v>
      </c>
      <c r="L15" s="1201">
        <f>IF(ISNUMBER(NºAsuntos!I15/NºAsuntos!G15),(NºAsuntos!I15/NºAsuntos!G15)*11," - ")</f>
        <v>6.3674460075292254</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3</v>
      </c>
      <c r="B17" s="1254" t="str">
        <f>Datos!A17</f>
        <v>Jdos. Violencia contra la mujer</v>
      </c>
      <c r="C17" s="229">
        <f t="shared" si="2"/>
        <v>466</v>
      </c>
      <c r="D17" s="229">
        <f>IF(ISNUMBER(IF(D_I="SI",Datos!I17,Datos!I17+Datos!AC17)),IF(D_I="SI",Datos!I17,Datos!I17+Datos!AC17)," - ")</f>
        <v>459</v>
      </c>
      <c r="E17" s="230">
        <f>IF(ISNUMBER(IF(D_I="SI",Datos!J17,Datos!J17+Datos!AD17)),IF(D_I="SI",Datos!J17,Datos!J17+Datos!AD17)," - ")</f>
        <v>1790</v>
      </c>
      <c r="F17" s="230">
        <f>IF(ISNUMBER(IF(D_I="SI",Datos!K17,Datos!K17+Datos!AE17)),IF(D_I="SI",Datos!K17,Datos!K17+Datos!AE17)," - ")</f>
        <v>1588</v>
      </c>
      <c r="G17" s="1189" t="str">
        <f>IF(Datos!E17&lt;&gt;"",Datos!E17,Datos!D17)</f>
        <v>37</v>
      </c>
      <c r="H17" s="231">
        <f>IF(ISNUMBER(IF(D_I="SI",Datos!L17,Datos!L17+Datos!AF17)),IF(D_I="SI",Datos!L17,Datos!L17+Datos!AF17)," - ")</f>
        <v>668</v>
      </c>
      <c r="I17" s="1199" t="str">
        <f>IF(ISNUMBER(Datos!AS17/Datos!BM17),Datos!AS17/Datos!BM17," - ")</f>
        <v xml:space="preserve"> - </v>
      </c>
      <c r="J17" s="1200" t="str">
        <f>IF(ISNUMBER((Datos!BY17+Datos!BZ17)/Datos!CN17),(Datos!BY17+Datos!BZ17)/Datos!CN17," - ")</f>
        <v xml:space="preserve"> - </v>
      </c>
      <c r="K17" s="234">
        <f t="shared" si="3"/>
        <v>0.4334763948497854</v>
      </c>
      <c r="L17" s="1201">
        <f>IF(ISNUMBER(NºAsuntos!I17/NºAsuntos!G17),(NºAsuntos!I17/NºAsuntos!G17)*11," - ")</f>
        <v>4.6272040302267001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5884</v>
      </c>
      <c r="D18" s="1206">
        <f>SUBTOTAL(9,D15:D17)</f>
        <v>5719</v>
      </c>
      <c r="E18" s="1207">
        <f>SUBTOTAL(9,E15:E17)</f>
        <v>12309</v>
      </c>
      <c r="F18" s="1207">
        <f>SUBTOTAL(9,F15:F17)</f>
        <v>11682</v>
      </c>
      <c r="G18" s="1209" t="str">
        <f ca="1">INDIRECT(CONCATENATE("G",ROW()-1))</f>
        <v>37</v>
      </c>
      <c r="H18" s="1210">
        <f ca="1">SUMIF(G$14:G17,G18,H$14:H17)</f>
        <v>668</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6144</v>
      </c>
      <c r="D19" s="1228">
        <f>SUBTOTAL(9,D9:D18)</f>
        <v>5979</v>
      </c>
      <c r="E19" s="1229">
        <f>SUBTOTAL(9,E9:E18)</f>
        <v>12449</v>
      </c>
      <c r="F19" s="1229">
        <f>SUBTOTAL(9,F9:F18)</f>
        <v>11799</v>
      </c>
      <c r="G19" s="1230"/>
      <c r="H19" s="1231">
        <f ca="1">SUMIF(B9:B18,"TOTAL",H9:H18)</f>
        <v>668</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RS2jy/5WxUgJdCQ7Q/7LJ2/J0sClP+DjLO6a2SL0aOO7V15pCs6oYDzrmW8WZMd+EsRsM/YTIeDws/29GGUfIA==" saltValue="jFkI5ubmlkarpbeVHjkTb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NcIPa9ajMH5Y45B9GnBqfOR50nIZ/l6xBOWl+IT1mT8zggGm6VIPcBJUre1doeClJltFvbCH7TzhqxMH8zdyaw==" saltValue="2WzNpBautA83Ouk+4j4Sv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v>19461</v>
      </c>
      <c r="J9" s="185">
        <v>9486</v>
      </c>
      <c r="K9" s="185">
        <v>6585</v>
      </c>
      <c r="L9" s="185">
        <v>22480</v>
      </c>
      <c r="M9" s="185">
        <v>1464</v>
      </c>
      <c r="N9" s="185">
        <v>2777</v>
      </c>
      <c r="O9" s="185">
        <v>3626</v>
      </c>
      <c r="P9" s="185">
        <v>1715</v>
      </c>
      <c r="Q9" s="185">
        <v>3710</v>
      </c>
      <c r="R9" s="185">
        <v>28453</v>
      </c>
      <c r="S9" s="185">
        <v>14542</v>
      </c>
      <c r="T9" s="185">
        <v>7136</v>
      </c>
      <c r="U9" s="185">
        <v>5754</v>
      </c>
      <c r="V9" s="185">
        <v>15931</v>
      </c>
      <c r="W9" s="185">
        <v>1522</v>
      </c>
      <c r="X9" s="192">
        <v>2175</v>
      </c>
      <c r="Y9" s="195">
        <v>465</v>
      </c>
      <c r="Z9" s="185">
        <v>594</v>
      </c>
      <c r="AA9" s="185">
        <v>492</v>
      </c>
      <c r="AB9" s="185">
        <v>570</v>
      </c>
      <c r="AC9" s="185">
        <v>0</v>
      </c>
      <c r="AD9" s="185">
        <v>0</v>
      </c>
      <c r="AE9" s="185">
        <v>0</v>
      </c>
      <c r="AF9" s="192">
        <v>0</v>
      </c>
      <c r="AG9" s="195">
        <v>416</v>
      </c>
      <c r="AH9" s="185">
        <v>587</v>
      </c>
      <c r="AI9" s="185">
        <v>560</v>
      </c>
      <c r="AJ9" s="196">
        <v>443</v>
      </c>
      <c r="AK9" s="184">
        <v>0</v>
      </c>
      <c r="AL9" s="185">
        <v>0</v>
      </c>
      <c r="AM9" s="185">
        <v>0</v>
      </c>
      <c r="AN9" s="192">
        <v>0</v>
      </c>
      <c r="AO9" s="262">
        <v>18</v>
      </c>
      <c r="AP9" s="158">
        <v>18</v>
      </c>
      <c r="AQ9" s="158">
        <v>18</v>
      </c>
      <c r="AR9" s="197">
        <v>18</v>
      </c>
      <c r="AS9" s="347" t="s">
        <v>808</v>
      </c>
      <c r="AT9" s="199"/>
      <c r="AU9" s="198"/>
      <c r="AV9" s="199"/>
      <c r="AW9" s="198"/>
      <c r="AX9" s="199"/>
      <c r="AY9" s="124">
        <f>IF(ISNUMBER(IF(J_V="SI",S9,S9+AG9)),IF(J_V="SI",S9,S9+AG9)," - ")</f>
        <v>14958</v>
      </c>
      <c r="AZ9" s="124">
        <f>IF(ISNUMBER(IF(J_V="SI",T9,T9+AH9)),IF(J_V="SI",T9,T9+AH9)," - ")</f>
        <v>7723</v>
      </c>
      <c r="BA9" s="125">
        <f>IF(ISNUMBER(IF(J_V="SI",U9,U9+AI9)),IF(J_V="SI",U9,U9+AI9)," - ")</f>
        <v>6314</v>
      </c>
      <c r="BB9" s="125">
        <f>IF(ISNUMBER(IF(J_V="SI",V9,V9+AJ9)),IF(J_V="SI",V9,V9+AJ9)," - ")</f>
        <v>16374</v>
      </c>
      <c r="BC9" s="126">
        <f>IF(ISNUMBER(X9),X9," - ")</f>
        <v>2175</v>
      </c>
      <c r="BD9" s="127">
        <f>IF(ISNUMBER(BA9/AZ9),BA9/AZ9," - ")</f>
        <v>0.8175579438042212</v>
      </c>
      <c r="BE9" s="128">
        <f>IF(ISNUMBER(BB9/BA9),BB9/BA9, " - ")</f>
        <v>2.5932847640164711</v>
      </c>
      <c r="BF9" s="128">
        <f>IF(ISNUMBER(BC9/BA9),BC9/BA9, " - ")</f>
        <v>0.34447260057016155</v>
      </c>
      <c r="BG9" s="200">
        <f>IF(ISNUMBER((AY9+AZ9)/BA9),(AY9+AZ9)/BA9," - ")</f>
        <v>3.5921761165663604</v>
      </c>
      <c r="BH9" s="158">
        <v>18</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260</v>
      </c>
      <c r="J10" s="185">
        <v>140</v>
      </c>
      <c r="K10" s="185">
        <v>117</v>
      </c>
      <c r="L10" s="185">
        <v>283</v>
      </c>
      <c r="M10" s="185">
        <v>44</v>
      </c>
      <c r="N10" s="185">
        <v>45</v>
      </c>
      <c r="O10" s="185">
        <v>20</v>
      </c>
      <c r="P10" s="185">
        <v>29</v>
      </c>
      <c r="Q10" s="185">
        <v>22</v>
      </c>
      <c r="R10" s="185">
        <v>288</v>
      </c>
      <c r="S10" s="185">
        <v>130</v>
      </c>
      <c r="T10" s="185">
        <v>97</v>
      </c>
      <c r="U10" s="185">
        <v>90</v>
      </c>
      <c r="V10" s="185">
        <v>132</v>
      </c>
      <c r="W10" s="185">
        <v>31</v>
      </c>
      <c r="X10" s="192">
        <v>51</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3</v>
      </c>
      <c r="AP10" s="159">
        <v>3</v>
      </c>
      <c r="AQ10" s="158">
        <v>3</v>
      </c>
      <c r="AR10" s="159">
        <v>3</v>
      </c>
      <c r="AS10" s="348" t="s">
        <v>802</v>
      </c>
      <c r="AT10" s="196"/>
      <c r="AU10" s="204"/>
      <c r="AV10" s="196"/>
      <c r="AW10" s="204"/>
      <c r="AX10" s="196"/>
      <c r="AY10" s="129">
        <f t="shared" ref="AY10:BC10" si="0">IF(ISNUMBER(S10),S10," - ")</f>
        <v>130</v>
      </c>
      <c r="AZ10" s="130">
        <f t="shared" si="0"/>
        <v>97</v>
      </c>
      <c r="BA10" s="130">
        <f t="shared" si="0"/>
        <v>90</v>
      </c>
      <c r="BB10" s="130">
        <f t="shared" si="0"/>
        <v>132</v>
      </c>
      <c r="BC10" s="126">
        <f t="shared" si="0"/>
        <v>31</v>
      </c>
      <c r="BD10" s="127">
        <f>IF(ISNUMBER(BA10/AZ10),BA10/AZ10," - ")</f>
        <v>0.92783505154639179</v>
      </c>
      <c r="BE10" s="128">
        <f>IF(ISNUMBER(BB10/BA10),BB10/BA10, " - ")</f>
        <v>1.4666666666666666</v>
      </c>
      <c r="BF10" s="128">
        <f>IF(ISNUMBER(BC10/BA10),BC10/BA10, " - ")</f>
        <v>0.34444444444444444</v>
      </c>
      <c r="BG10" s="200">
        <f>IF(ISNUMBER((AY10+AZ10)/BA10),(AY10+AZ10)/BA10," - ")</f>
        <v>2.5222222222222221</v>
      </c>
      <c r="BH10" s="159">
        <v>3</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v>1409</v>
      </c>
      <c r="J11" s="187">
        <v>805</v>
      </c>
      <c r="K11" s="187">
        <v>795</v>
      </c>
      <c r="L11" s="187">
        <v>1419</v>
      </c>
      <c r="M11" s="187">
        <v>371</v>
      </c>
      <c r="N11" s="187">
        <v>328</v>
      </c>
      <c r="O11" s="185">
        <v>352</v>
      </c>
      <c r="P11" s="187">
        <v>125</v>
      </c>
      <c r="Q11" s="187">
        <v>227</v>
      </c>
      <c r="R11" s="187">
        <v>1518</v>
      </c>
      <c r="S11" s="187">
        <v>1323</v>
      </c>
      <c r="T11" s="187">
        <v>813</v>
      </c>
      <c r="U11" s="187">
        <v>853</v>
      </c>
      <c r="V11" s="187">
        <v>1283</v>
      </c>
      <c r="W11" s="187">
        <v>385</v>
      </c>
      <c r="X11" s="193">
        <v>358</v>
      </c>
      <c r="Y11" s="195">
        <v>104</v>
      </c>
      <c r="Z11" s="185">
        <v>155</v>
      </c>
      <c r="AA11" s="185">
        <v>171</v>
      </c>
      <c r="AB11" s="185">
        <v>88</v>
      </c>
      <c r="AC11" s="187">
        <v>0</v>
      </c>
      <c r="AD11" s="187">
        <v>0</v>
      </c>
      <c r="AE11" s="187">
        <v>0</v>
      </c>
      <c r="AF11" s="193">
        <v>0</v>
      </c>
      <c r="AG11" s="206">
        <v>102</v>
      </c>
      <c r="AH11" s="187">
        <v>197</v>
      </c>
      <c r="AI11" s="187">
        <v>205</v>
      </c>
      <c r="AJ11" s="207">
        <v>94</v>
      </c>
      <c r="AK11" s="186">
        <v>0</v>
      </c>
      <c r="AL11" s="187">
        <v>0</v>
      </c>
      <c r="AM11" s="187">
        <v>0</v>
      </c>
      <c r="AN11" s="193">
        <v>0</v>
      </c>
      <c r="AO11" s="263">
        <v>4</v>
      </c>
      <c r="AP11" s="159">
        <v>4</v>
      </c>
      <c r="AQ11" s="159">
        <v>4</v>
      </c>
      <c r="AR11" s="158">
        <v>4</v>
      </c>
      <c r="AS11" s="349" t="s">
        <v>810</v>
      </c>
      <c r="AT11" s="207"/>
      <c r="AU11" s="206"/>
      <c r="AV11" s="207"/>
      <c r="AW11" s="206"/>
      <c r="AX11" s="207"/>
      <c r="AY11" s="127">
        <f t="shared" ref="AY11:BB12" si="1">IF(ISNUMBER(IF(J_V="SI",S11,S11+AG11)),IF(J_V="SI",S11,S11+AG11)," - ")</f>
        <v>1425</v>
      </c>
      <c r="AZ11" s="128">
        <f t="shared" si="1"/>
        <v>1010</v>
      </c>
      <c r="BA11" s="128">
        <f t="shared" si="1"/>
        <v>1058</v>
      </c>
      <c r="BB11" s="128">
        <f t="shared" si="1"/>
        <v>1377</v>
      </c>
      <c r="BC11" s="126">
        <f>IF(ISNUMBER(X11),X11," - ")</f>
        <v>358</v>
      </c>
      <c r="BD11" s="127">
        <f t="shared" ref="BD11:BD12" si="2">IF(ISNUMBER(BA11/AZ11),BA11/AZ11," - ")</f>
        <v>1.0475247524752476</v>
      </c>
      <c r="BE11" s="128">
        <f t="shared" ref="BE11:BE12" si="3">IF(ISNUMBER(BB11/BA11),BB11/BA11, " - ")</f>
        <v>1.3015122873345937</v>
      </c>
      <c r="BF11" s="128">
        <f t="shared" ref="BF11:BF12" si="4">IF(ISNUMBER(BC11/BA11),BC11/BA11, " - ")</f>
        <v>0.33837429111531192</v>
      </c>
      <c r="BG11" s="200">
        <f t="shared" ref="BG11:BG12" si="5">IF(ISNUMBER((AY11+AZ11)/BA11),(AY11+AZ11)/BA11," - ")</f>
        <v>2.3015122873345937</v>
      </c>
      <c r="BH11" s="159">
        <v>4</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21130</v>
      </c>
      <c r="J13" s="188">
        <f t="shared" si="6"/>
        <v>10431</v>
      </c>
      <c r="K13" s="188">
        <f t="shared" si="6"/>
        <v>7497</v>
      </c>
      <c r="L13" s="188">
        <f t="shared" si="6"/>
        <v>24182</v>
      </c>
      <c r="M13" s="188">
        <f t="shared" si="6"/>
        <v>1879</v>
      </c>
      <c r="N13" s="188">
        <f t="shared" si="6"/>
        <v>3150</v>
      </c>
      <c r="O13" s="188">
        <f t="shared" si="6"/>
        <v>3998</v>
      </c>
      <c r="P13" s="188">
        <f t="shared" si="6"/>
        <v>1869</v>
      </c>
      <c r="Q13" s="188">
        <f t="shared" si="6"/>
        <v>3959</v>
      </c>
      <c r="R13" s="188">
        <f t="shared" si="6"/>
        <v>30259</v>
      </c>
      <c r="S13" s="188">
        <f t="shared" si="6"/>
        <v>15995</v>
      </c>
      <c r="T13" s="188">
        <f t="shared" si="6"/>
        <v>8046</v>
      </c>
      <c r="U13" s="188">
        <f t="shared" si="6"/>
        <v>6697</v>
      </c>
      <c r="V13" s="188">
        <f t="shared" si="6"/>
        <v>17346</v>
      </c>
      <c r="W13" s="188">
        <f t="shared" si="6"/>
        <v>1938</v>
      </c>
      <c r="X13" s="188">
        <f t="shared" si="6"/>
        <v>2584</v>
      </c>
      <c r="Y13" s="188">
        <f t="shared" si="6"/>
        <v>569</v>
      </c>
      <c r="Z13" s="188">
        <f t="shared" si="6"/>
        <v>749</v>
      </c>
      <c r="AA13" s="188">
        <f t="shared" si="6"/>
        <v>663</v>
      </c>
      <c r="AB13" s="188">
        <f t="shared" si="6"/>
        <v>658</v>
      </c>
      <c r="AC13" s="188">
        <f t="shared" si="6"/>
        <v>0</v>
      </c>
      <c r="AD13" s="188">
        <f t="shared" si="6"/>
        <v>0</v>
      </c>
      <c r="AE13" s="188">
        <f t="shared" si="6"/>
        <v>0</v>
      </c>
      <c r="AF13" s="188">
        <f>SUBTOTAL(9,AF9:AF12)</f>
        <v>0</v>
      </c>
      <c r="AG13" s="188">
        <f t="shared" ref="AG13:AT13" si="7">SUBTOTAL(9,AG8:AG12)</f>
        <v>518</v>
      </c>
      <c r="AH13" s="188">
        <f t="shared" si="7"/>
        <v>784</v>
      </c>
      <c r="AI13" s="188">
        <f t="shared" si="7"/>
        <v>765</v>
      </c>
      <c r="AJ13" s="188">
        <f t="shared" si="7"/>
        <v>537</v>
      </c>
      <c r="AK13" s="188">
        <f t="shared" si="7"/>
        <v>0</v>
      </c>
      <c r="AL13" s="188">
        <f t="shared" si="7"/>
        <v>0</v>
      </c>
      <c r="AM13" s="188">
        <f t="shared" si="7"/>
        <v>0</v>
      </c>
      <c r="AN13" s="188">
        <f t="shared" si="7"/>
        <v>0</v>
      </c>
      <c r="AO13" s="188">
        <f t="shared" si="7"/>
        <v>25</v>
      </c>
      <c r="AP13" s="188">
        <f t="shared" si="7"/>
        <v>25</v>
      </c>
      <c r="AQ13" s="188">
        <f t="shared" si="7"/>
        <v>25</v>
      </c>
      <c r="AR13" s="188">
        <f t="shared" si="7"/>
        <v>25</v>
      </c>
      <c r="AS13" s="188">
        <f t="shared" si="7"/>
        <v>0</v>
      </c>
      <c r="AT13" s="188">
        <f t="shared" si="7"/>
        <v>0</v>
      </c>
      <c r="AU13" s="208"/>
      <c r="AV13" s="133"/>
      <c r="AW13" s="208"/>
      <c r="AX13" s="133"/>
      <c r="AY13" s="188">
        <f>SUBTOTAL(9,AY8:AY12)</f>
        <v>16513</v>
      </c>
      <c r="AZ13" s="188">
        <f>SUBTOTAL(9,AZ8:AZ12)</f>
        <v>8830</v>
      </c>
      <c r="BA13" s="188">
        <f>SUBTOTAL(9,BA8:BA12)</f>
        <v>7462</v>
      </c>
      <c r="BB13" s="188">
        <f>SUBTOTAL(9,BB8:BB12)</f>
        <v>17883</v>
      </c>
      <c r="BC13" s="188">
        <f>SUBTOTAL(9,BC8:BC12)</f>
        <v>2564</v>
      </c>
      <c r="BD13" s="209">
        <f>IF(ISNUMBER(BA13/AZ13),BA13/AZ13," - ")</f>
        <v>0.84507361268403169</v>
      </c>
      <c r="BE13" s="210">
        <f>IF(ISNUMBER(BB13/BA13),BB13/BA13, " - ")</f>
        <v>2.3965424819083356</v>
      </c>
      <c r="BF13" s="210">
        <f>IF(ISNUMBER(BC13/BA13),BC13/BA13, " - ")</f>
        <v>0.34360761190029482</v>
      </c>
      <c r="BG13" s="211">
        <f>IF(ISNUMBER((AY13+AZ13)/BA13),(AY13+AZ13)/BA13," - ")</f>
        <v>3.3962744572500672</v>
      </c>
      <c r="BH13" s="144">
        <f>SUBTOTAL(9,BH8:BH12)</f>
        <v>25</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5260</v>
      </c>
      <c r="J15" s="187">
        <v>10519</v>
      </c>
      <c r="K15" s="187">
        <v>10094</v>
      </c>
      <c r="L15" s="187">
        <v>5843</v>
      </c>
      <c r="M15" s="187">
        <v>786</v>
      </c>
      <c r="N15" s="187">
        <v>7295</v>
      </c>
      <c r="O15" s="185">
        <v>282</v>
      </c>
      <c r="P15" s="187">
        <v>424</v>
      </c>
      <c r="Q15" s="187">
        <v>384</v>
      </c>
      <c r="R15" s="187">
        <v>1132</v>
      </c>
      <c r="S15" s="187">
        <v>4200</v>
      </c>
      <c r="T15" s="187">
        <v>10483</v>
      </c>
      <c r="U15" s="187">
        <v>9921</v>
      </c>
      <c r="V15" s="187">
        <v>4854</v>
      </c>
      <c r="W15" s="187">
        <v>815</v>
      </c>
      <c r="X15" s="193">
        <v>7182</v>
      </c>
      <c r="Y15" s="206">
        <v>0</v>
      </c>
      <c r="Z15" s="187">
        <v>0</v>
      </c>
      <c r="AA15" s="187">
        <v>0</v>
      </c>
      <c r="AB15" s="187">
        <v>0</v>
      </c>
      <c r="AC15" s="187">
        <v>143</v>
      </c>
      <c r="AD15" s="187">
        <v>661</v>
      </c>
      <c r="AE15" s="187">
        <v>780</v>
      </c>
      <c r="AF15" s="193">
        <v>24</v>
      </c>
      <c r="AG15" s="206">
        <v>0</v>
      </c>
      <c r="AH15" s="187">
        <v>0</v>
      </c>
      <c r="AI15" s="187">
        <v>0</v>
      </c>
      <c r="AJ15" s="207">
        <v>0</v>
      </c>
      <c r="AK15" s="186">
        <v>5</v>
      </c>
      <c r="AL15" s="187">
        <v>418</v>
      </c>
      <c r="AM15" s="187">
        <v>418</v>
      </c>
      <c r="AN15" s="193">
        <v>5</v>
      </c>
      <c r="AO15" s="263">
        <v>12</v>
      </c>
      <c r="AP15" s="159">
        <v>12</v>
      </c>
      <c r="AQ15" s="159">
        <v>12</v>
      </c>
      <c r="AR15" s="159">
        <v>12</v>
      </c>
      <c r="AS15" s="349" t="s">
        <v>531</v>
      </c>
      <c r="AT15" s="207" t="s">
        <v>329</v>
      </c>
      <c r="AU15" s="206"/>
      <c r="AV15" s="207"/>
      <c r="AW15" s="206"/>
      <c r="AX15" s="207"/>
      <c r="AY15" s="129">
        <f t="shared" ref="AY15:BB16" si="9">IF(ISNUMBER(IF(D_I="SI",S15,S15+AK15)),IF(D_I="SI",S15,S15+AK15)," - ")</f>
        <v>4200</v>
      </c>
      <c r="AZ15" s="130">
        <f t="shared" si="9"/>
        <v>10483</v>
      </c>
      <c r="BA15" s="130">
        <f t="shared" si="9"/>
        <v>9921</v>
      </c>
      <c r="BB15" s="130">
        <f t="shared" si="9"/>
        <v>4854</v>
      </c>
      <c r="BC15" s="126">
        <f>IF(ISNUMBER(W15),W15," - ")</f>
        <v>815</v>
      </c>
      <c r="BD15" s="127">
        <f>IF(ISNUMBER(BA15/AZ15),BA15/AZ15," - ")</f>
        <v>0.94638939234951824</v>
      </c>
      <c r="BE15" s="128">
        <f>IF(ISNUMBER(BB15/BA15),BB15/BA15, " - ")</f>
        <v>0.4892651950408225</v>
      </c>
      <c r="BF15" s="128">
        <f>IF(ISNUMBER(BC15/BA15),BC15/BA15, " - ")</f>
        <v>8.2148976917649427E-2</v>
      </c>
      <c r="BG15" s="200">
        <f t="shared" ref="BG15:BG16" si="10">IF(ISNUMBER((AY15+AZ15)/BA15),(AY15+AZ15)/BA15," - ")</f>
        <v>1.4799919362967442</v>
      </c>
      <c r="BH15" s="159">
        <v>12</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459</v>
      </c>
      <c r="J17" s="187">
        <v>1790</v>
      </c>
      <c r="K17" s="187">
        <v>1588</v>
      </c>
      <c r="L17" s="187">
        <v>668</v>
      </c>
      <c r="M17" s="187">
        <v>153</v>
      </c>
      <c r="N17" s="187">
        <v>776</v>
      </c>
      <c r="O17" s="187">
        <v>18</v>
      </c>
      <c r="P17" s="187">
        <v>33</v>
      </c>
      <c r="Q17" s="187">
        <v>25</v>
      </c>
      <c r="R17" s="187">
        <v>68</v>
      </c>
      <c r="S17" s="187">
        <v>373</v>
      </c>
      <c r="T17" s="187">
        <v>1311</v>
      </c>
      <c r="U17" s="187">
        <v>1132</v>
      </c>
      <c r="V17" s="187">
        <v>554</v>
      </c>
      <c r="W17" s="187">
        <v>111</v>
      </c>
      <c r="X17" s="193">
        <v>711</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3</v>
      </c>
      <c r="AP17" s="159">
        <v>3</v>
      </c>
      <c r="AQ17" s="158">
        <v>3</v>
      </c>
      <c r="AR17" s="159">
        <v>3</v>
      </c>
      <c r="AS17" s="348" t="s">
        <v>801</v>
      </c>
      <c r="AT17" s="213"/>
      <c r="AU17" s="204"/>
      <c r="AV17" s="213"/>
      <c r="AW17" s="204"/>
      <c r="AX17" s="213"/>
      <c r="AY17" s="129">
        <f t="shared" ref="AY17:BB17" si="14">IF(ISNUMBER(S17),S17," - ")</f>
        <v>373</v>
      </c>
      <c r="AZ17" s="130">
        <f t="shared" si="14"/>
        <v>1311</v>
      </c>
      <c r="BA17" s="130">
        <f t="shared" si="14"/>
        <v>1132</v>
      </c>
      <c r="BB17" s="130">
        <f t="shared" si="14"/>
        <v>554</v>
      </c>
      <c r="BC17" s="126">
        <f>IF(ISNUMBER(W17),W17," - ")</f>
        <v>111</v>
      </c>
      <c r="BD17" s="127">
        <f>IF(ISNUMBER(BA17/AZ17),BA17/AZ17," - ")</f>
        <v>0.86346300533943554</v>
      </c>
      <c r="BE17" s="128">
        <f>IF(ISNUMBER(BB17/BA17),BB17/BA17, " - ")</f>
        <v>0.48939929328621906</v>
      </c>
      <c r="BF17" s="128">
        <f>IF(ISNUMBER(BC17/BA17),BC17/BA17, " - ")</f>
        <v>9.8056537102473501E-2</v>
      </c>
      <c r="BG17" s="200">
        <f>IF(ISNUMBER((AY17+AZ17)/BA17),(AY17+AZ17)/BA17," - ")</f>
        <v>1.4876325088339222</v>
      </c>
      <c r="BH17" s="159">
        <v>3</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5719</v>
      </c>
      <c r="J18" s="188">
        <f t="shared" si="15"/>
        <v>12309</v>
      </c>
      <c r="K18" s="188">
        <f t="shared" si="15"/>
        <v>11682</v>
      </c>
      <c r="L18" s="188">
        <f t="shared" si="15"/>
        <v>6511</v>
      </c>
      <c r="M18" s="188">
        <f t="shared" si="15"/>
        <v>939</v>
      </c>
      <c r="N18" s="188">
        <f t="shared" si="15"/>
        <v>8071</v>
      </c>
      <c r="O18" s="188">
        <f t="shared" si="15"/>
        <v>300</v>
      </c>
      <c r="P18" s="188">
        <f t="shared" si="15"/>
        <v>457</v>
      </c>
      <c r="Q18" s="188">
        <f t="shared" si="15"/>
        <v>409</v>
      </c>
      <c r="R18" s="188">
        <f t="shared" si="15"/>
        <v>1200</v>
      </c>
      <c r="S18" s="188">
        <f t="shared" si="15"/>
        <v>4573</v>
      </c>
      <c r="T18" s="188">
        <f t="shared" si="15"/>
        <v>11794</v>
      </c>
      <c r="U18" s="188">
        <f t="shared" si="15"/>
        <v>11053</v>
      </c>
      <c r="V18" s="188">
        <f t="shared" si="15"/>
        <v>5408</v>
      </c>
      <c r="W18" s="188">
        <f t="shared" si="15"/>
        <v>926</v>
      </c>
      <c r="X18" s="188">
        <f t="shared" si="15"/>
        <v>7893</v>
      </c>
      <c r="Y18" s="188">
        <f t="shared" si="15"/>
        <v>0</v>
      </c>
      <c r="Z18" s="188">
        <f t="shared" si="15"/>
        <v>0</v>
      </c>
      <c r="AA18" s="188">
        <f t="shared" si="15"/>
        <v>0</v>
      </c>
      <c r="AB18" s="188">
        <f t="shared" si="15"/>
        <v>0</v>
      </c>
      <c r="AC18" s="188">
        <f t="shared" si="15"/>
        <v>143</v>
      </c>
      <c r="AD18" s="188">
        <f t="shared" si="15"/>
        <v>661</v>
      </c>
      <c r="AE18" s="188">
        <f t="shared" si="15"/>
        <v>780</v>
      </c>
      <c r="AF18" s="188">
        <f t="shared" si="15"/>
        <v>24</v>
      </c>
      <c r="AG18" s="188">
        <f t="shared" si="15"/>
        <v>0</v>
      </c>
      <c r="AH18" s="188">
        <f t="shared" si="15"/>
        <v>0</v>
      </c>
      <c r="AI18" s="188">
        <f t="shared" si="15"/>
        <v>0</v>
      </c>
      <c r="AJ18" s="188">
        <f t="shared" si="15"/>
        <v>0</v>
      </c>
      <c r="AK18" s="188">
        <f t="shared" si="15"/>
        <v>5</v>
      </c>
      <c r="AL18" s="188">
        <f t="shared" si="15"/>
        <v>418</v>
      </c>
      <c r="AM18" s="188">
        <f t="shared" si="15"/>
        <v>418</v>
      </c>
      <c r="AN18" s="188">
        <f t="shared" si="15"/>
        <v>5</v>
      </c>
      <c r="AO18" s="188">
        <f t="shared" si="15"/>
        <v>15</v>
      </c>
      <c r="AP18" s="188">
        <f t="shared" si="15"/>
        <v>15</v>
      </c>
      <c r="AQ18" s="188">
        <f t="shared" si="15"/>
        <v>15</v>
      </c>
      <c r="AR18" s="188">
        <f t="shared" si="15"/>
        <v>15</v>
      </c>
      <c r="AS18" s="188">
        <f t="shared" si="15"/>
        <v>0</v>
      </c>
      <c r="AT18" s="188">
        <f t="shared" si="15"/>
        <v>0</v>
      </c>
      <c r="AU18" s="208"/>
      <c r="AV18" s="133"/>
      <c r="AW18" s="208"/>
      <c r="AX18" s="133"/>
      <c r="AY18" s="188">
        <f>SUBTOTAL(9,AY14:AY17)</f>
        <v>4573</v>
      </c>
      <c r="AZ18" s="188">
        <f>SUBTOTAL(9,AZ14:AZ17)</f>
        <v>11794</v>
      </c>
      <c r="BA18" s="188">
        <f>SUBTOTAL(9,BA14:BA17)</f>
        <v>11053</v>
      </c>
      <c r="BB18" s="188">
        <f>SUBTOTAL(9,BB14:BB17)</f>
        <v>5408</v>
      </c>
      <c r="BC18" s="188">
        <f>SUBTOTAL(9,BC14:BC17)</f>
        <v>926</v>
      </c>
      <c r="BD18" s="209">
        <f>IF(ISNUMBER(BA18/AZ18),BA18/AZ18," - ")</f>
        <v>0.93717144310666445</v>
      </c>
      <c r="BE18" s="210">
        <f>IF(ISNUMBER(BB18/BA18),BB18/BA18, " - ")</f>
        <v>0.48927892879761153</v>
      </c>
      <c r="BF18" s="210">
        <f>IF(ISNUMBER(BC18/BA18),BC18/BA18, " - ")</f>
        <v>8.3778159775626526E-2</v>
      </c>
      <c r="BG18" s="211">
        <f>IF(ISNUMBER((AY18+AZ18)/BA18),(AY18+AZ18)/BA18," - ")</f>
        <v>1.4807744503754636</v>
      </c>
      <c r="BH18" s="188">
        <f>SUBTOTAL(9,BH14:BH17)</f>
        <v>15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26849</v>
      </c>
      <c r="J19" s="135">
        <f t="shared" si="18"/>
        <v>22740</v>
      </c>
      <c r="K19" s="135">
        <f t="shared" si="18"/>
        <v>19179</v>
      </c>
      <c r="L19" s="135">
        <f t="shared" si="18"/>
        <v>30693</v>
      </c>
      <c r="M19" s="135">
        <f t="shared" si="18"/>
        <v>2818</v>
      </c>
      <c r="N19" s="135">
        <f t="shared" si="18"/>
        <v>11221</v>
      </c>
      <c r="O19" s="135">
        <f t="shared" si="18"/>
        <v>4298</v>
      </c>
      <c r="P19" s="135">
        <f t="shared" si="18"/>
        <v>2326</v>
      </c>
      <c r="Q19" s="135">
        <f t="shared" si="18"/>
        <v>4368</v>
      </c>
      <c r="R19" s="135">
        <f t="shared" si="18"/>
        <v>31459</v>
      </c>
      <c r="S19" s="135">
        <f t="shared" si="18"/>
        <v>20568</v>
      </c>
      <c r="T19" s="135">
        <f t="shared" si="18"/>
        <v>19840</v>
      </c>
      <c r="U19" s="135">
        <f t="shared" si="18"/>
        <v>17750</v>
      </c>
      <c r="V19" s="135">
        <f t="shared" si="18"/>
        <v>22754</v>
      </c>
      <c r="W19" s="135">
        <f t="shared" si="18"/>
        <v>2864</v>
      </c>
      <c r="X19" s="135">
        <f t="shared" si="18"/>
        <v>10477</v>
      </c>
      <c r="Y19" s="135">
        <f t="shared" si="18"/>
        <v>569</v>
      </c>
      <c r="Z19" s="135">
        <f t="shared" si="18"/>
        <v>749</v>
      </c>
      <c r="AA19" s="135">
        <f t="shared" si="18"/>
        <v>663</v>
      </c>
      <c r="AB19" s="135">
        <f t="shared" si="18"/>
        <v>658</v>
      </c>
      <c r="AC19" s="135">
        <f t="shared" si="18"/>
        <v>143</v>
      </c>
      <c r="AD19" s="135">
        <f t="shared" si="18"/>
        <v>661</v>
      </c>
      <c r="AE19" s="135">
        <f t="shared" si="18"/>
        <v>780</v>
      </c>
      <c r="AF19" s="135">
        <f t="shared" si="18"/>
        <v>24</v>
      </c>
      <c r="AG19" s="135">
        <f t="shared" si="18"/>
        <v>518</v>
      </c>
      <c r="AH19" s="135">
        <f t="shared" si="18"/>
        <v>784</v>
      </c>
      <c r="AI19" s="135">
        <f t="shared" si="18"/>
        <v>765</v>
      </c>
      <c r="AJ19" s="135">
        <f t="shared" si="18"/>
        <v>537</v>
      </c>
      <c r="AK19" s="135">
        <f t="shared" si="18"/>
        <v>5</v>
      </c>
      <c r="AL19" s="135">
        <f t="shared" si="18"/>
        <v>418</v>
      </c>
      <c r="AM19" s="135">
        <f t="shared" si="18"/>
        <v>418</v>
      </c>
      <c r="AN19" s="214">
        <f t="shared" si="18"/>
        <v>5</v>
      </c>
      <c r="AO19" s="215">
        <v>37</v>
      </c>
      <c r="AP19" s="215">
        <v>37</v>
      </c>
      <c r="AQ19" s="215">
        <v>37</v>
      </c>
      <c r="AR19" s="215">
        <v>37</v>
      </c>
      <c r="AS19" s="157">
        <f t="shared" si="18"/>
        <v>0</v>
      </c>
      <c r="AT19" s="157">
        <f t="shared" si="18"/>
        <v>0</v>
      </c>
      <c r="AU19" s="215"/>
      <c r="AV19" s="216"/>
      <c r="AW19" s="215"/>
      <c r="AX19" s="216"/>
      <c r="AY19" s="134">
        <f>SUBTOTAL(9,AY9:AY18)</f>
        <v>21086</v>
      </c>
      <c r="AZ19" s="135">
        <f>SUBTOTAL(9,AZ9:AZ18)</f>
        <v>20624</v>
      </c>
      <c r="BA19" s="135">
        <f>SUBTOTAL(9,BA9:BA18)</f>
        <v>18515</v>
      </c>
      <c r="BB19" s="135">
        <f>SUBTOTAL(9,BB9:BB18)</f>
        <v>23291</v>
      </c>
      <c r="BC19" s="136">
        <f>SUBTOTAL(9,BC9:BC18)</f>
        <v>3490</v>
      </c>
      <c r="BD19" s="217">
        <f>IF(ISNUMBER(BA19/AZ19),BA19/AZ19," - ")</f>
        <v>0.89774049650892163</v>
      </c>
      <c r="BE19" s="214">
        <f>IF(ISNUMBER(BB19/BA19),BB19/BA19, " - ")</f>
        <v>1.2579530110721038</v>
      </c>
      <c r="BF19" s="214">
        <f>IF(ISNUMBER(BC19/BA19),BC19/BA19, " - ")</f>
        <v>0.18849581420469888</v>
      </c>
      <c r="BG19" s="136">
        <f>IF(ISNUMBER((AY19+AZ19)/BA19),(AY19+AZ19)/BA19," - ")</f>
        <v>2.2527680259249259</v>
      </c>
      <c r="BH19" s="215">
        <f>SUBTOTAL(9,BH9:BH18)</f>
        <v>40</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38rgqM9XUoav/7vWWhuNB+mx3KSlB3hDIrS1+dtrqQlRIKrSh+KLRaPZ+3VfXR8Y9PfzCRNCoi7HdhCGHo0PZw==" saltValue="SX/x9S7np2ZVnQ7YdovKB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Jb9oPGmLIoYMEYjCuOZyIIu7ZfQSpPizVJJNnf1bt/I0QidnAE9y1syPF1FLuUEDijRs367DQUs7Cxaqb26dwA==" saltValue="X8c68k0YhI/4MMrkkknfg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ARAGON</v>
      </c>
      <c r="F1" s="531"/>
    </row>
    <row r="2" spans="1:74" ht="16.5" customHeight="1">
      <c r="C2" s="520" t="str">
        <f>Criterios!A10 &amp;"  "&amp;Criterios!B10 &amp; "  " &amp; IF(NOT(ISBLANK(Criterios!A11)),Criterios!A11 &amp;"  "&amp;Criterios!B11,"")</f>
        <v>Provincias  ZARAGOZA  Resumenes por Partidos Judiciales  ZARAGOZA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18</v>
      </c>
      <c r="B9" s="652" t="s">
        <v>249</v>
      </c>
      <c r="C9" s="670" t="str">
        <f>Datos!A9</f>
        <v xml:space="preserve">Jdos. 1ª Instancia   </v>
      </c>
      <c r="D9" s="543"/>
      <c r="E9" s="669">
        <f>IF(ISNUMBER(Datos!AQ9),Datos!AQ9," - ")</f>
        <v>18</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594</v>
      </c>
      <c r="O9" s="503"/>
      <c r="P9" s="503"/>
      <c r="Q9" s="501">
        <f>IF(ISNUMBER(Datos!P9),Datos!P9,0)</f>
        <v>1715</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3710</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570</v>
      </c>
      <c r="AI9" s="503" t="str">
        <f>IF(ISNUMBER(Datos!CD9),Datos!CD9,"-")</f>
        <v>-</v>
      </c>
      <c r="AJ9" s="503" t="str">
        <f>IF(ISNUMBER(Datos!EN9),Datos!EN9," - ")</f>
        <v xml:space="preserve"> - </v>
      </c>
      <c r="AK9" s="503"/>
      <c r="AL9" s="504"/>
      <c r="AM9" s="671">
        <f>IF(ISNUMBER(Datos!R9),Datos!R9," - ")</f>
        <v>28453</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1464</v>
      </c>
      <c r="BD9" s="619">
        <f>IF(ISNUMBER(Datos!N9),Datos!N9," - ")</f>
        <v>2777</v>
      </c>
      <c r="BE9" s="619" t="str">
        <f>IF(ISNUMBER(Datos!BW9),Datos!BW9," - ")</f>
        <v xml:space="preserve"> - </v>
      </c>
      <c r="BF9" s="667" t="str">
        <f>IF(ISNUMBER(Datos!BX9),Datos!BX9," - ")</f>
        <v xml:space="preserve"> - </v>
      </c>
      <c r="BG9" s="668">
        <f>IF(ISNUMBER(IF(J_V="SI",Datos!K9/Datos!J9,(Datos!K9+Datos!AA9)/(Datos!J9+Datos!Z9))),IF(J_V="SI",Datos!K9/Datos!J9,(Datos!K9+Datos!AA9)/(Datos!J9+Datos!Z9))," - ")</f>
        <v>0.70208333333333328</v>
      </c>
      <c r="BH9" s="669">
        <f>IF(ISNUMBER(((IF(J_V="SI",Datos!L9/Datos!K9,(Datos!L9+Datos!AB9)/(Datos!K9+Datos!AA9)))*11)/factor_trimestre),((IF(J_V="SI",Datos!L9/Datos!K9,(Datos!L9+Datos!AB9)/(Datos!K9+Datos!AA9)))*11)/factor_trimestre," - ")</f>
        <v>6.5140596297866331</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-6.5521544929059386E-2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3</v>
      </c>
      <c r="B10" s="653" t="s">
        <v>249</v>
      </c>
      <c r="C10" s="654" t="str">
        <f>Datos!A10</f>
        <v>Jdos. Violencia contra la mujer</v>
      </c>
      <c r="D10" s="548"/>
      <c r="E10" s="669">
        <f>IF(ISNUMBER(Datos!AQ10),Datos!AQ10," - ")</f>
        <v>3</v>
      </c>
      <c r="F10" s="506">
        <f>IF(ISNUMBER(Datos!L10+Datos!K10-Datos!J10),Datos!L10+Datos!K10-Datos!J10," - ")</f>
        <v>260</v>
      </c>
      <c r="G10" s="497">
        <f>IF(ISNUMBER(Datos!I10),Datos!I10," - ")</f>
        <v>260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29</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117</v>
      </c>
      <c r="AC10" s="501">
        <f>IF(ISNUMBER(Datos!Q10),Datos!Q10," - ")</f>
        <v>22</v>
      </c>
      <c r="AD10" s="503"/>
      <c r="AE10" s="516"/>
      <c r="AF10" s="505">
        <f>IF(ISNUMBER(Datos!L10),Datos!L10,"-")</f>
        <v>283</v>
      </c>
      <c r="AG10" s="503"/>
      <c r="AH10" s="503"/>
      <c r="AI10" s="503"/>
      <c r="AJ10" s="503"/>
      <c r="AK10" s="503"/>
      <c r="AL10" s="504"/>
      <c r="AM10" s="671">
        <f>IF(ISNUMBER(Datos!R10),Datos!R10," - ")</f>
        <v>288</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44</v>
      </c>
      <c r="BD10" s="619">
        <f>IF(ISNUMBER(Datos!N10),Datos!N10," - ")</f>
        <v>45</v>
      </c>
      <c r="BE10" s="619" t="str">
        <f>IF(ISNUMBER(Datos!BW10),Datos!BW10," - ")</f>
        <v xml:space="preserve"> - </v>
      </c>
      <c r="BF10" s="667" t="str">
        <f>IF(ISNUMBER(Datos!BX10),Datos!BX10," - ")</f>
        <v xml:space="preserve"> - </v>
      </c>
      <c r="BG10" s="668">
        <f>IF(ISNUMBER(Datos!K10/Datos!J10),Datos!K10/Datos!J10," - ")</f>
        <v>0.83571428571428574</v>
      </c>
      <c r="BH10" s="669">
        <f>IF(ISNUMBER(((Datos!L10/Datos!K10)*11)/factor_trimestre),((Datos!L10/Datos!K10)*11)/factor_trimestre," - ")</f>
        <v>4.8376068376068373</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2.491103202846975E-2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4</v>
      </c>
      <c r="B11" s="653" t="s">
        <v>249</v>
      </c>
      <c r="C11" s="654" t="str">
        <f>Datos!A11</f>
        <v xml:space="preserve">Jdos. Familia                                   </v>
      </c>
      <c r="D11" s="548"/>
      <c r="E11" s="669">
        <f>IF(ISNUMBER(Datos!AQ11),Datos!AQ11," - ")</f>
        <v>4</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155</v>
      </c>
      <c r="O11" s="503"/>
      <c r="P11" s="503"/>
      <c r="Q11" s="501">
        <f>IF(ISNUMBER(Datos!P11),Datos!P11,0)</f>
        <v>125</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227</v>
      </c>
      <c r="AD11" s="503"/>
      <c r="AE11" s="516"/>
      <c r="AF11" s="505" t="str">
        <f>IF(ISNUMBER(IF(J_V="SI",Datos!L11,Datos!L11+Datos!AB11)-IF(Monitorios="SI",Datos!CD11,0)),
                          IF(J_V="SI",Datos!L11,Datos!L11+Datos!AB11)-IF(Monitorios="SI",Datos!CD11,0),
                          " - ")</f>
        <v xml:space="preserve"> - </v>
      </c>
      <c r="AG11" s="503"/>
      <c r="AH11" s="503">
        <f>IF(ISNUMBER(Datos!AB11),Datos!AB11,"-")</f>
        <v>88</v>
      </c>
      <c r="AI11" s="503"/>
      <c r="AJ11" s="503"/>
      <c r="AK11" s="503"/>
      <c r="AL11" s="504"/>
      <c r="AM11" s="671">
        <f>IF(ISNUMBER(Datos!R11),Datos!R11," - ")</f>
        <v>1518</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371</v>
      </c>
      <c r="BD11" s="619">
        <f>IF(ISNUMBER(Datos!N11),Datos!N11," - ")</f>
        <v>328</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1.0062500000000001</v>
      </c>
      <c r="BH11" s="669">
        <f>IF(ISNUMBER(((IF(J_V="SI",Datos!L11/Datos!K11,(Datos!L11+Datos!AB11)/(Datos!K11+Datos!AA11)))*11)/factor_trimestre),((IF(J_V="SI",Datos!L11/Datos!K11,(Datos!L11+Datos!AB11)/(Datos!K11+Datos!AA11)))*11)/factor_trimestre," - ")</f>
        <v>3.1200828157349894</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-6.2962962962962957E-2</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25</v>
      </c>
      <c r="F13" s="1044">
        <f t="shared" si="0"/>
        <v>260</v>
      </c>
      <c r="G13" s="1044">
        <f t="shared" si="0"/>
        <v>260</v>
      </c>
      <c r="H13" s="1045">
        <f t="shared" si="0"/>
        <v>0</v>
      </c>
      <c r="I13" s="1044">
        <f t="shared" si="0"/>
        <v>0</v>
      </c>
      <c r="J13" s="1013">
        <f t="shared" si="0"/>
        <v>0</v>
      </c>
      <c r="K13" s="1013">
        <f t="shared" si="0"/>
        <v>0</v>
      </c>
      <c r="L13" s="1045">
        <f t="shared" si="0"/>
        <v>0</v>
      </c>
      <c r="M13" s="1045">
        <f t="shared" si="0"/>
        <v>0</v>
      </c>
      <c r="N13" s="1045">
        <f t="shared" si="0"/>
        <v>749</v>
      </c>
      <c r="O13" s="1046">
        <f t="shared" si="0"/>
        <v>0</v>
      </c>
      <c r="P13" s="1046">
        <f t="shared" si="0"/>
        <v>0</v>
      </c>
      <c r="Q13" s="1045">
        <f t="shared" si="0"/>
        <v>1869</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117</v>
      </c>
      <c r="AC13" s="1045">
        <f t="shared" si="1"/>
        <v>3959</v>
      </c>
      <c r="AD13" s="1045">
        <f t="shared" si="1"/>
        <v>0</v>
      </c>
      <c r="AE13" s="1045">
        <f t="shared" si="1"/>
        <v>0</v>
      </c>
      <c r="AF13" s="1045">
        <f t="shared" si="1"/>
        <v>283</v>
      </c>
      <c r="AG13" s="1045">
        <f t="shared" si="1"/>
        <v>0</v>
      </c>
      <c r="AH13" s="1045">
        <f t="shared" si="1"/>
        <v>658</v>
      </c>
      <c r="AI13" s="1045">
        <f t="shared" si="1"/>
        <v>0</v>
      </c>
      <c r="AJ13" s="1045">
        <f t="shared" si="1"/>
        <v>0</v>
      </c>
      <c r="AK13" s="1045">
        <f t="shared" si="1"/>
        <v>0</v>
      </c>
      <c r="AL13" s="1045">
        <f t="shared" si="1"/>
        <v>0</v>
      </c>
      <c r="AM13" s="1045">
        <f t="shared" si="1"/>
        <v>30259</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1879</v>
      </c>
      <c r="BD13" s="1045">
        <f t="shared" si="1"/>
        <v>3150</v>
      </c>
      <c r="BE13" s="1045">
        <f t="shared" si="1"/>
        <v>0</v>
      </c>
      <c r="BF13" s="1045">
        <f t="shared" si="1"/>
        <v>0</v>
      </c>
      <c r="BG13" s="1045">
        <f>IF(ISNUMBER(Datos!K13/Datos!J13),Datos!K13/Datos!J13," - ")</f>
        <v>0.71872303710094909</v>
      </c>
      <c r="BH13" s="1049">
        <f>IF(ISNUMBER(((Datos!L13/Datos!K13)*11)/factor_trimestre),((Datos!L13/Datos!K13)*11)/factor_trimestre," - ")</f>
        <v>6.4511137788448716</v>
      </c>
      <c r="BI13" s="1045">
        <f>IF(ISNUMBER('Resol  Asuntos'!D13/NºAsuntos!G13),'Resol  Asuntos'!D13/NºAsuntos!G13," - ")</f>
        <v>0.23026960784313724</v>
      </c>
      <c r="BJ13" s="1045" t="str">
        <f>IF(ISNUMBER(Datos!CI13/Datos!CJ13),Datos!CI13/Datos!CJ13," - ")</f>
        <v xml:space="preserve"> - </v>
      </c>
      <c r="BK13" s="1045">
        <f>SUBTOTAL(9,BK8:BK12)</f>
        <v>0</v>
      </c>
      <c r="BL13" s="1045">
        <f>IF(ISNUMBER((I13-AB13+L13)/(F13)),(I13-AB13+L13)/(F13)," - ")</f>
        <v>-0.45</v>
      </c>
      <c r="BM13" s="1050">
        <f>SUBTOTAL(9,BM9:BM12)</f>
        <v>-0.10357347586355259</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12</v>
      </c>
      <c r="B15" s="646" t="s">
        <v>400</v>
      </c>
      <c r="C15" s="656" t="str">
        <f>Datos!A15</f>
        <v xml:space="preserve">Jdos. Instrucción                               </v>
      </c>
      <c r="D15" s="657"/>
      <c r="E15" s="1330">
        <f>IF(ISNUMBER(Datos!AQ15),Datos!AQ15," - ")</f>
        <v>12</v>
      </c>
      <c r="F15" s="647">
        <f>IF(ISNUMBER(AF15+AB15-Datos!J15-L15),AF15+AB15-Datos!J15-L15," - ")</f>
        <v>5418</v>
      </c>
      <c r="G15" s="650">
        <f>IF(ISNUMBER(IF(D_I="SI",Datos!I15,Datos!I15+Datos!AC15)),IF(D_I="SI",Datos!I15,Datos!I15+Datos!AC15)," - ")</f>
        <v>5260</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424</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10094</v>
      </c>
      <c r="AC15" s="230">
        <f>IF(ISNUMBER(Datos!Q15),Datos!Q15," - ")</f>
        <v>384</v>
      </c>
      <c r="AD15" s="343"/>
      <c r="AE15" s="515"/>
      <c r="AF15" s="648">
        <f>IF(ISNUMBER(IF(D_I="SI",Datos!L15,Datos!L15+Datos!AF15)),IF(D_I="SI",Datos!L15,Datos!L15+Datos!AF15)," - ")</f>
        <v>5843</v>
      </c>
      <c r="AG15" s="343"/>
      <c r="AH15" s="343"/>
      <c r="AI15" s="343"/>
      <c r="AJ15" s="503"/>
      <c r="AK15" s="343"/>
      <c r="AL15" s="499"/>
      <c r="AM15" s="344">
        <f>IF(ISNUMBER(Datos!R15),Datos!R15," - ")</f>
        <v>1132</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786</v>
      </c>
      <c r="BD15" s="233">
        <f>IF(ISNUMBER(Datos!N15),Datos!N15," - ")</f>
        <v>7295</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0.95959691985930218</v>
      </c>
      <c r="BH15" s="669">
        <f>IF(ISNUMBER(((IF(D_I="SI",Datos!L15/Datos!K15,(Datos!L15+Datos!AF15)/(Datos!K15+Datos!AE15)))*11)/factor_trimestre),((IF(D_I="SI",Datos!L15/Datos!K15,(Datos!L15+Datos!AF15)/(Datos!K15+Datos!AE15)))*11)/factor_trimestre," - ")</f>
        <v>1.1577174559144046</v>
      </c>
      <c r="BI15" s="247">
        <f>IF(ISNUMBER('Resol  Asuntos'!D15/NºAsuntos!G15),'Resol  Asuntos'!D15/NºAsuntos!G15," - ")</f>
        <v>7.7868040420051521E-2</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3</v>
      </c>
      <c r="B17" s="653" t="s">
        <v>400</v>
      </c>
      <c r="C17" s="654" t="str">
        <f>Datos!A17</f>
        <v>Jdos. Violencia contra la mujer</v>
      </c>
      <c r="D17" s="548"/>
      <c r="E17" s="1179">
        <f>IF(ISNUMBER(Datos!AQ17),Datos!AQ17," - ")</f>
        <v>3</v>
      </c>
      <c r="F17" s="506" t="str">
        <f>IF(ISNUMBER(AF17+AB17-I17-L17),AF17+AB17-I17-L17," - ")</f>
        <v xml:space="preserve"> - </v>
      </c>
      <c r="G17" s="497">
        <f>IF(ISNUMBER(IF(D_I="SI",Datos!I17,Datos!I17+Datos!AC17)),IF(D_I="SI",Datos!I17,Datos!I17+Datos!AC17)," - ")</f>
        <v>459</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33</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1588</v>
      </c>
      <c r="AC17" s="501">
        <f>IF(ISNUMBER(Datos!Q17),Datos!Q17," - ")</f>
        <v>25</v>
      </c>
      <c r="AD17" s="503"/>
      <c r="AE17" s="515"/>
      <c r="AF17" s="505">
        <f>IF(ISNUMBER(Datos!L17),Datos!L17,"-")</f>
        <v>668</v>
      </c>
      <c r="AG17" s="503"/>
      <c r="AH17" s="503"/>
      <c r="AI17" s="503"/>
      <c r="AJ17" s="503"/>
      <c r="AK17" s="503"/>
      <c r="AL17" s="504"/>
      <c r="AM17" s="671">
        <f>IF(ISNUMBER(Datos!R17),Datos!R17," - ")</f>
        <v>68</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153</v>
      </c>
      <c r="BD17" s="619">
        <f>IF(ISNUMBER(Datos!N17),Datos!N17," - ")</f>
        <v>776</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0.88715083798882677</v>
      </c>
      <c r="BH17" s="669">
        <f>IF(ISNUMBER(((IF(D_I="SI",Datos!L17/Datos!K17,(Datos!L17+Datos!AF17)/(Datos!K17+Datos!AE17)))*11)/factor_trimestre),((IF(D_I="SI",Datos!L17/Datos!K17,(Datos!L17+Datos!AF17)/(Datos!K17+Datos!AE17)))*11)/factor_trimestre," - ")</f>
        <v>0.84130982367758189</v>
      </c>
      <c r="BI17" s="668">
        <f>IF(ISNUMBER('Resol  Asuntos'!D17/NºAsuntos!G17),'Resol  Asuntos'!D17/NºAsuntos!G17," - ")</f>
        <v>9.634760705289673E-2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15</v>
      </c>
      <c r="F18" s="1044">
        <f>SUBTOTAL(9,F15:F17)</f>
        <v>5418</v>
      </c>
      <c r="G18" s="1044">
        <f>SUBTOTAL(9,G15:G17)</f>
        <v>5719</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457</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11682</v>
      </c>
      <c r="AC18" s="1045">
        <f t="shared" si="4"/>
        <v>409</v>
      </c>
      <c r="AD18" s="1045">
        <f t="shared" si="4"/>
        <v>0</v>
      </c>
      <c r="AE18" s="1045">
        <f t="shared" si="4"/>
        <v>0</v>
      </c>
      <c r="AF18" s="1045">
        <f t="shared" si="4"/>
        <v>6511</v>
      </c>
      <c r="AG18" s="1045">
        <f t="shared" si="4"/>
        <v>0</v>
      </c>
      <c r="AH18" s="1045">
        <f t="shared" si="4"/>
        <v>0</v>
      </c>
      <c r="AI18" s="1045">
        <f t="shared" si="4"/>
        <v>0</v>
      </c>
      <c r="AJ18" s="1045">
        <f t="shared" si="4"/>
        <v>0</v>
      </c>
      <c r="AK18" s="1045">
        <f t="shared" si="4"/>
        <v>0</v>
      </c>
      <c r="AL18" s="1045">
        <f t="shared" si="4"/>
        <v>0</v>
      </c>
      <c r="AM18" s="1045">
        <f t="shared" si="4"/>
        <v>1200</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939</v>
      </c>
      <c r="BD18" s="1045">
        <f t="shared" si="4"/>
        <v>8071</v>
      </c>
      <c r="BE18" s="1045">
        <f t="shared" si="4"/>
        <v>0</v>
      </c>
      <c r="BF18" s="1045">
        <f t="shared" si="4"/>
        <v>0</v>
      </c>
      <c r="BG18" s="1045">
        <f>IF(ISNUMBER(Datos!K18/Datos!J18),Datos!K18/Datos!J18," - ")</f>
        <v>0.94906166219839139</v>
      </c>
      <c r="BH18" s="1049">
        <f>IF(ISNUMBER(((Datos!L18/Datos!K18)*11)/factor_trimestre),((Datos!L18/Datos!K18)*11)/factor_trimestre," - ")</f>
        <v>1.1147063858928266</v>
      </c>
      <c r="BI18" s="1045">
        <f>SUBTOTAL(9,BI15:BI17)</f>
        <v>0.17421564747294827</v>
      </c>
      <c r="BJ18" s="1045">
        <f>SUBTOTAL(9,BJ15:BJ17)</f>
        <v>0</v>
      </c>
      <c r="BK18" s="1045">
        <f>SUBTOTAL(9,BK15:BK17)</f>
        <v>0</v>
      </c>
      <c r="BL18" s="1045">
        <f>IF(ISNUMBER((I18-AB18+L18)/(F18)),(I18-AB18+L18)/(F18)," - ")</f>
        <v>-2.1561461794019934</v>
      </c>
      <c r="BM18" s="1051">
        <f>IF(ISNUMBER((Datos!P18-Datos!Q18)/(Datos!R18-Datos!P18+Datos!Q18)),(Datos!P18-Datos!Q18)/(Datos!R18-Datos!P18+Datos!Q18)," - ")</f>
        <v>4.1666666666666664E-2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40</v>
      </c>
      <c r="F19" s="966">
        <f t="shared" si="6"/>
        <v>5678</v>
      </c>
      <c r="G19" s="966">
        <f t="shared" si="6"/>
        <v>5979</v>
      </c>
      <c r="H19" s="968">
        <f t="shared" si="6"/>
        <v>0</v>
      </c>
      <c r="I19" s="966">
        <f t="shared" si="6"/>
        <v>0</v>
      </c>
      <c r="J19" s="968">
        <f t="shared" si="6"/>
        <v>0</v>
      </c>
      <c r="K19" s="968">
        <f t="shared" si="6"/>
        <v>0</v>
      </c>
      <c r="L19" s="1027">
        <f t="shared" si="6"/>
        <v>0</v>
      </c>
      <c r="M19" s="1027">
        <f t="shared" si="6"/>
        <v>0</v>
      </c>
      <c r="N19" s="1027">
        <f t="shared" si="6"/>
        <v>749</v>
      </c>
      <c r="O19" s="1027">
        <f t="shared" si="6"/>
        <v>0</v>
      </c>
      <c r="P19" s="1027">
        <f t="shared" si="6"/>
        <v>0</v>
      </c>
      <c r="Q19" s="968">
        <f t="shared" si="6"/>
        <v>2326</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11799</v>
      </c>
      <c r="AC19" s="967">
        <f t="shared" si="7"/>
        <v>4368</v>
      </c>
      <c r="AD19" s="967">
        <f t="shared" si="7"/>
        <v>0</v>
      </c>
      <c r="AE19" s="967">
        <f t="shared" si="7"/>
        <v>0</v>
      </c>
      <c r="AF19" s="974">
        <f t="shared" si="7"/>
        <v>6794</v>
      </c>
      <c r="AG19" s="974">
        <f t="shared" si="7"/>
        <v>0</v>
      </c>
      <c r="AH19" s="974">
        <f t="shared" si="7"/>
        <v>658</v>
      </c>
      <c r="AI19" s="974">
        <f t="shared" si="7"/>
        <v>0</v>
      </c>
      <c r="AJ19" s="967">
        <f t="shared" si="7"/>
        <v>0</v>
      </c>
      <c r="AK19" s="974">
        <f t="shared" si="7"/>
        <v>0</v>
      </c>
      <c r="AL19" s="974">
        <f t="shared" si="7"/>
        <v>0</v>
      </c>
      <c r="AM19" s="974">
        <f t="shared" si="7"/>
        <v>31459</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2818</v>
      </c>
      <c r="BD19" s="966">
        <f t="shared" si="7"/>
        <v>11221</v>
      </c>
      <c r="BE19" s="966">
        <f t="shared" si="7"/>
        <v>0</v>
      </c>
      <c r="BF19" s="976">
        <f t="shared" si="7"/>
        <v>0</v>
      </c>
      <c r="BG19" s="1061">
        <f>IF(ISNUMBER(Datos!K19/Datos!J19),Datos!K19/Datos!J19," - ")</f>
        <v>0.84340369393139847</v>
      </c>
      <c r="BH19" s="1061">
        <f>IF(ISNUMBER(((Datos!L19/Datos!K19)*11)/factor_trimestre),((Datos!L19/Datos!K19)*11)/factor_trimestre," - ")</f>
        <v>3.2006882527764744</v>
      </c>
      <c r="BI19" s="959">
        <f>IF(ISNUMBER(Datos!J19/Datos!I19),Datos!J19/Datos!I19," - ")</f>
        <v>0.84695891839547099</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-2.0780204297287779</v>
      </c>
      <c r="BM19" s="1035">
        <f>IF(ISNUMBER((Datos!P19-Datos!Q19+R19)/(Datos!R19-Datos!P19+Datos!Q19-R19)),(Datos!P19-Datos!Q19+R19)/(Datos!R19-Datos!P19+Datos!Q19-R19)," - ")</f>
        <v>-6.0953404375988778E-2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2391.6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8.9504810547317017</v>
      </c>
      <c r="F21" s="599">
        <f>IF(ISNUMBER(STDEV(F8:F18)),STDEV(F8:F18),"-")</f>
        <v>2977.9726884800898</v>
      </c>
      <c r="G21" s="600">
        <f>IF(ISNUMBER(STDEV(G8:G18)),STDEV(G8:G18),"-")</f>
        <v>2833.7999752981859</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5690.6493741927206</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682.9659407250673</v>
      </c>
      <c r="BD21" s="599"/>
      <c r="BE21" s="599">
        <f>IF(ISNUMBER(STDEV(BE8:BE18)),STDEV(BE8:BE18),"-")</f>
        <v>0</v>
      </c>
      <c r="BF21" s="604">
        <f>IF(ISNUMBER(STDEV(BF8:BF18)),STDEV(BF8:BF18),"-")</f>
        <v>0</v>
      </c>
      <c r="BG21" s="914">
        <f>IF(ISNUMBER(STDEV(BG8:BG18)),STDEV(BG8:BG18),"-")</f>
        <v>0.11919995430912077</v>
      </c>
      <c r="BH21" s="918">
        <f>IF(ISNUMBER(STDEV(BH8:BH18)),STDEV(BH8:BH18),"-")</f>
        <v>2.5146579021385072</v>
      </c>
      <c r="BI21" s="253">
        <f>IF(ISNUMBER(STDEV(BI8:BI18)),STDEV(BI8:BI18),"-")</f>
        <v>7.0705477161999972E-2</v>
      </c>
      <c r="BJ21" s="234" t="str">
        <f>IF(ISNUMBER(BL21/BM21),BL21/BM21," - ")</f>
        <v xml:space="preserve"> - </v>
      </c>
      <c r="BK21" s="626"/>
      <c r="BL21" s="607">
        <f>IF(ISNUMBER(STDEV(BL8:BL18)),STDEV(BL8:BL18),"-")</f>
        <v>1.2064275331506691</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wvi4bUOy9OYf6rMko0APXmBRDPQLZPpPsJUuFfA7ITLnNc81q9GLEFVAMvMcCiT3b8wwDoQ7HrG5KRp/1Q+DdQ==" saltValue="QeEDbXFCaPGrIc8VlEchC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ARAGON</v>
      </c>
    </row>
    <row r="2" spans="1:73" ht="16.5" customHeight="1">
      <c r="C2" s="574" t="str">
        <f>Criterios!A10 &amp;"  "&amp;Criterios!B10 &amp; "  " &amp; IF(NOT(ISBLANK(Criterios!A11)),Criterios!A11 &amp;"  "&amp;Criterios!B11,"")</f>
        <v>Provincias  ZARAGOZA  Resumenes por Partidos Judiciales  ZARAGOZA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18</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1715</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3710</v>
      </c>
      <c r="AA9" s="505" t="str">
        <f>IF(ISNUMBER(IF(J_V="SI",Datos!L9,Datos!L9+Datos!AB9)-IF(Monitorios="SI",Datos!CD9,0)),
                          IF(J_V="SI",Datos!L9,Datos!L9+Datos!AB9)-IF(Monitorios="SI",Datos!CD9,0),
                          " - ")</f>
        <v xml:space="preserve"> - </v>
      </c>
      <c r="AB9" s="503"/>
      <c r="AC9" s="503"/>
      <c r="AD9" s="516"/>
      <c r="AE9" s="516">
        <f>IF(ISNUMBER(Datos!R9),Datos!R9," - ")</f>
        <v>28453</v>
      </c>
      <c r="AF9" s="619" t="str">
        <f>IF(ISNUMBER(Datos!BV9),Datos!BV9," - ")</f>
        <v xml:space="preserve"> - </v>
      </c>
      <c r="AG9" s="506" t="str">
        <f>IF(ISNUMBER(Datos!DV9),Datos!DV9," - ")</f>
        <v xml:space="preserve"> - </v>
      </c>
      <c r="AH9" s="507"/>
      <c r="AI9" s="508"/>
      <c r="AJ9" s="506">
        <f>IF(ISNUMBER(Datos!M9),Datos!M9," - ")</f>
        <v>1464</v>
      </c>
      <c r="AK9" s="619">
        <f>IF(ISNUMBER(Datos!N9),Datos!N9," - ")</f>
        <v>2777</v>
      </c>
      <c r="AL9" s="619" t="str">
        <f>IF(ISNUMBER(Datos!BW9),Datos!BW9," - ")</f>
        <v xml:space="preserve"> - </v>
      </c>
      <c r="AM9" s="667" t="str">
        <f>IF(ISNUMBER(Datos!BX9),Datos!BX9," - ")</f>
        <v xml:space="preserve"> - </v>
      </c>
      <c r="AN9" s="668"/>
      <c r="AO9" s="669">
        <f>IF(ISNUMBER(((NºAsuntos!I9/NºAsuntos!G9)*11)/factor_trimestre),((NºAsuntos!I9/NºAsuntos!G9)*11)/factor_trimestre," - ")</f>
        <v>6.5140596297866331</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-6.5521544929059386E-2</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3</v>
      </c>
      <c r="B10" s="653" t="s">
        <v>249</v>
      </c>
      <c r="C10" s="654" t="str">
        <f>Datos!A10</f>
        <v>Jdos. Violencia contra la mujer</v>
      </c>
      <c r="D10" s="548"/>
      <c r="E10" s="1333">
        <f>IF(ISNUMBER(Datos!AQ10),Datos!AQ10," - ")</f>
        <v>3</v>
      </c>
      <c r="F10" s="506">
        <f>IF(ISNUMBER(Datos!L10+Datos!K10-Datos!J10),Datos!L10+Datos!K10-Datos!J10," - ")</f>
        <v>260</v>
      </c>
      <c r="G10" s="506">
        <f>IF(ISNUMBER(Datos!I10),Datos!I10," - ")</f>
        <v>260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29</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117</v>
      </c>
      <c r="Z10" s="703">
        <f>IF(ISNUMBER(Datos!Q10),Datos!Q10," - ")</f>
        <v>22</v>
      </c>
      <c r="AA10" s="505">
        <f>IF(ISNUMBER(Datos!L10),Datos!L10,"-")</f>
        <v>283</v>
      </c>
      <c r="AB10" s="503"/>
      <c r="AC10" s="503"/>
      <c r="AD10" s="516"/>
      <c r="AE10" s="516">
        <f>IF(ISNUMBER(Datos!R10),Datos!R10," - ")</f>
        <v>288</v>
      </c>
      <c r="AF10" s="619" t="str">
        <f>IF(ISNUMBER(Datos!BV10),Datos!BV10," - ")</f>
        <v xml:space="preserve"> - </v>
      </c>
      <c r="AG10" s="506" t="str">
        <f>IF(ISNUMBER(Datos!DV10),Datos!DV10," - ")</f>
        <v xml:space="preserve"> - </v>
      </c>
      <c r="AH10" s="507"/>
      <c r="AI10" s="508"/>
      <c r="AJ10" s="506">
        <f>IF(ISNUMBER(Datos!M10),Datos!M10," - ")</f>
        <v>44</v>
      </c>
      <c r="AK10" s="619">
        <f>IF(ISNUMBER(Datos!N10),Datos!N10," - ")</f>
        <v>45</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4.8376068376068373</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2.491103202846975E-2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4</v>
      </c>
      <c r="B11" s="653" t="s">
        <v>249</v>
      </c>
      <c r="C11" s="654" t="str">
        <f>Datos!A11</f>
        <v xml:space="preserve">Jdos. Familia                                   </v>
      </c>
      <c r="D11" s="548"/>
      <c r="E11" s="1333">
        <f>IF(ISNUMBER(Datos!AQ11),Datos!AQ11," - ")</f>
        <v>4</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125</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227</v>
      </c>
      <c r="AA11" s="505" t="str">
        <f>IF(ISNUMBER(IF(J_V="SI",Datos!L11,Datos!L11+Datos!AB11)-IF(Monitorios="SI",Datos!CD11,0)),
                          IF(J_V="SI",Datos!L11,Datos!L11+Datos!AB11)-IF(Monitorios="SI",Datos!CD11,0),
                          " - ")</f>
        <v xml:space="preserve"> - </v>
      </c>
      <c r="AB11" s="503"/>
      <c r="AC11" s="503"/>
      <c r="AD11" s="516"/>
      <c r="AE11" s="516">
        <f>IF(ISNUMBER(Datos!R11),Datos!R11," - ")</f>
        <v>1518</v>
      </c>
      <c r="AF11" s="619" t="str">
        <f>IF(ISNUMBER(Datos!BV11),Datos!BV11," - ")</f>
        <v xml:space="preserve"> - </v>
      </c>
      <c r="AG11" s="506" t="str">
        <f>IF(ISNUMBER(Datos!DV11),Datos!DV11," - ")</f>
        <v xml:space="preserve"> - </v>
      </c>
      <c r="AH11" s="507"/>
      <c r="AI11" s="508"/>
      <c r="AJ11" s="506">
        <f>IF(ISNUMBER(Datos!M11),Datos!M11," - ")</f>
        <v>371</v>
      </c>
      <c r="AK11" s="619">
        <f>IF(ISNUMBER(Datos!N11),Datos!N11," - ")</f>
        <v>328</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3.1200828157349894</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-6.2962962962962957E-2</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25</v>
      </c>
      <c r="F13" s="1044">
        <f>SUBTOTAL(9,F8:F12)</f>
        <v>260</v>
      </c>
      <c r="G13" s="1044">
        <f>SUBTOTAL(9,G8:G12)</f>
        <v>260</v>
      </c>
      <c r="H13" s="1054"/>
      <c r="I13" s="1044">
        <f t="shared" ref="I13:N13" si="0">SUBTOTAL(9,I8:I12)</f>
        <v>0</v>
      </c>
      <c r="J13" s="1013">
        <f t="shared" si="0"/>
        <v>0</v>
      </c>
      <c r="K13" s="1054">
        <f t="shared" si="0"/>
        <v>0</v>
      </c>
      <c r="L13" s="1054">
        <f t="shared" si="0"/>
        <v>0</v>
      </c>
      <c r="M13" s="1054">
        <f t="shared" si="0"/>
        <v>0</v>
      </c>
      <c r="N13" s="1054">
        <f t="shared" si="0"/>
        <v>1869</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117</v>
      </c>
      <c r="Z13" s="1053">
        <f t="shared" si="2"/>
        <v>3959</v>
      </c>
      <c r="AA13" s="1046">
        <f t="shared" si="2"/>
        <v>283</v>
      </c>
      <c r="AB13" s="1046">
        <f t="shared" si="2"/>
        <v>0</v>
      </c>
      <c r="AC13" s="1046">
        <f t="shared" si="2"/>
        <v>0</v>
      </c>
      <c r="AD13" s="1046">
        <f t="shared" si="2"/>
        <v>0</v>
      </c>
      <c r="AE13" s="1046">
        <f t="shared" si="2"/>
        <v>30259</v>
      </c>
      <c r="AF13" s="1054">
        <f t="shared" si="2"/>
        <v>0</v>
      </c>
      <c r="AG13" s="1054">
        <f t="shared" si="2"/>
        <v>0</v>
      </c>
      <c r="AH13" s="1054">
        <f t="shared" si="2"/>
        <v>0</v>
      </c>
      <c r="AI13" s="1054">
        <f t="shared" si="2"/>
        <v>0</v>
      </c>
      <c r="AJ13" s="1054">
        <f t="shared" si="2"/>
        <v>1879</v>
      </c>
      <c r="AK13" s="1054">
        <f t="shared" si="2"/>
        <v>3150</v>
      </c>
      <c r="AL13" s="1054">
        <f t="shared" si="2"/>
        <v>0</v>
      </c>
      <c r="AM13" s="1054">
        <f t="shared" si="2"/>
        <v>0</v>
      </c>
      <c r="AN13" s="1054">
        <f t="shared" si="2"/>
        <v>0</v>
      </c>
      <c r="AO13" s="1050">
        <f>IF(ISNUMBER(((NºAsuntos!I13/NºAsuntos!G13)*11)/factor_trimestre),((NºAsuntos!I13/NºAsuntos!G13)*11)/factor_trimestre," - ")</f>
        <v>6.0882352941176467</v>
      </c>
      <c r="AP13" s="1056" t="str">
        <f>IF(ISNUMBER(Datos!CI13/Datos!CJ13),Datos!CI13/Datos!CJ13," - ")</f>
        <v xml:space="preserve"> - </v>
      </c>
      <c r="AQ13" s="1074">
        <f t="shared" ref="AQ13:AV13" si="3">SUBTOTAL(9,AQ9:AQ12)</f>
        <v>0</v>
      </c>
      <c r="AR13" s="1074">
        <f t="shared" si="3"/>
        <v>-0.10357347586355259</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12</v>
      </c>
      <c r="B15" s="653" t="s">
        <v>400</v>
      </c>
      <c r="C15" s="670" t="str">
        <f>Datos!A15</f>
        <v xml:space="preserve">Jdos. Instrucción                               </v>
      </c>
      <c r="D15" s="543"/>
      <c r="E15" s="1333">
        <f>IF(ISNUMBER(Datos!AQ15),Datos!AQ15," - ")</f>
        <v>12</v>
      </c>
      <c r="F15" s="497">
        <f>IF(ISNUMBER(AA15+Y15-Datos!J15-K15),AA15+Y15-Datos!J15-K15," - ")</f>
        <v>5418</v>
      </c>
      <c r="G15" s="506">
        <f>IF(ISNUMBER(IF(D_I="SI",Datos!I15,Datos!I15+Datos!AC15)),IF(D_I="SI",Datos!I15,Datos!I15+Datos!AC15)," - ")</f>
        <v>5260</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424</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10094</v>
      </c>
      <c r="Z15" s="703">
        <f>IF(ISNUMBER(Datos!Q15),Datos!Q15," - ")</f>
        <v>384</v>
      </c>
      <c r="AA15" s="505">
        <f>IF(ISNUMBER(IF(D_I="SI",Datos!L15,Datos!L15+Datos!AF15)),IF(D_I="SI",Datos!L15,Datos!L15+Datos!AF15)," - ")</f>
        <v>5843</v>
      </c>
      <c r="AB15" s="503"/>
      <c r="AC15" s="503"/>
      <c r="AD15" s="516"/>
      <c r="AE15" s="516">
        <f>IF(ISNUMBER(Datos!R15),Datos!R15," - ")</f>
        <v>1132</v>
      </c>
      <c r="AF15" s="619" t="str">
        <f>IF(ISNUMBER(Datos!BV15),Datos!BV15," - ")</f>
        <v xml:space="preserve"> - </v>
      </c>
      <c r="AG15" s="506"/>
      <c r="AH15" s="507"/>
      <c r="AI15" s="508"/>
      <c r="AJ15" s="506">
        <f>IF(ISNUMBER(Datos!M15),Datos!M15," - ")</f>
        <v>786</v>
      </c>
      <c r="AK15" s="619">
        <f>IF(ISNUMBER(Datos!N15),Datos!N15," - ")</f>
        <v>7295</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1.1577174559144046</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3</v>
      </c>
      <c r="B17" s="653" t="s">
        <v>400</v>
      </c>
      <c r="C17" s="654" t="str">
        <f>Datos!A17</f>
        <v>Jdos. Violencia contra la mujer</v>
      </c>
      <c r="D17" s="548"/>
      <c r="E17" s="1333">
        <f>IF(ISNUMBER(Datos!AQ17),Datos!AQ17," - ")</f>
        <v>3</v>
      </c>
      <c r="F17" s="506" t="str">
        <f>IF(ISNUMBER(AA17+Y17-I17-K17),AA17+Y17-I17-K17," - ")</f>
        <v xml:space="preserve"> - </v>
      </c>
      <c r="G17" s="740">
        <f>IF(ISNUMBER(IF(D_I="SI",Datos!I17,Datos!I17+Datos!AC17)),IF(D_I="SI",Datos!I17,Datos!I17+Datos!AC17)," - ")</f>
        <v>459</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33</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1588</v>
      </c>
      <c r="Z17" s="703">
        <f>IF(ISNUMBER(Datos!Q17),Datos!Q17," - ")</f>
        <v>25</v>
      </c>
      <c r="AA17" s="505">
        <f>IF(ISNUMBER(Datos!L17),Datos!L17,"-")</f>
        <v>668</v>
      </c>
      <c r="AB17" s="503"/>
      <c r="AC17" s="503"/>
      <c r="AD17" s="516"/>
      <c r="AE17" s="516">
        <f>IF(ISNUMBER(Datos!R17),Datos!R17," - ")</f>
        <v>68</v>
      </c>
      <c r="AF17" s="619" t="str">
        <f>IF(ISNUMBER(Datos!BV17),Datos!BV17," - ")</f>
        <v xml:space="preserve"> - </v>
      </c>
      <c r="AG17" s="506" t="str">
        <f>IF(ISNUMBER(Datos!DV17),Datos!DV17," - ")</f>
        <v xml:space="preserve"> - </v>
      </c>
      <c r="AH17" s="507"/>
      <c r="AI17" s="508"/>
      <c r="AJ17" s="506">
        <f>IF(ISNUMBER(Datos!M17),Datos!M17," - ")</f>
        <v>153</v>
      </c>
      <c r="AK17" s="619">
        <f>IF(ISNUMBER(Datos!N17),Datos!N17," - ")</f>
        <v>776</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0.84130982367758189</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15</v>
      </c>
      <c r="F18" s="1044">
        <f>SUBTOTAL(9,F15:F17)</f>
        <v>5418</v>
      </c>
      <c r="G18" s="1044">
        <f>SUBTOTAL(9,G15:G17)</f>
        <v>5719</v>
      </c>
      <c r="H18" s="1078">
        <f>SUBTOTAL(9,H15:H17)</f>
        <v>0</v>
      </c>
      <c r="I18" s="1057">
        <f>SUBTOTAL(9,I15:I17)</f>
        <v>0</v>
      </c>
      <c r="J18" s="1013">
        <f>SUBTOTAL(9,J14:J17)</f>
        <v>0</v>
      </c>
      <c r="K18" s="1078">
        <f t="shared" ref="K18:S18" si="4">SUBTOTAL(9,K15:K17)</f>
        <v>0</v>
      </c>
      <c r="L18" s="1078">
        <f t="shared" si="4"/>
        <v>0</v>
      </c>
      <c r="M18" s="1078">
        <f t="shared" si="4"/>
        <v>0</v>
      </c>
      <c r="N18" s="1078">
        <f t="shared" si="4"/>
        <v>457</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11682</v>
      </c>
      <c r="Z18" s="1078">
        <f t="shared" si="5"/>
        <v>409</v>
      </c>
      <c r="AA18" s="1078">
        <f t="shared" si="5"/>
        <v>6511</v>
      </c>
      <c r="AB18" s="1078">
        <f t="shared" si="5"/>
        <v>0</v>
      </c>
      <c r="AC18" s="1078">
        <f t="shared" si="5"/>
        <v>0</v>
      </c>
      <c r="AD18" s="1078">
        <f t="shared" si="5"/>
        <v>0</v>
      </c>
      <c r="AE18" s="1078">
        <f t="shared" si="5"/>
        <v>1200</v>
      </c>
      <c r="AF18" s="1078">
        <f t="shared" si="5"/>
        <v>0</v>
      </c>
      <c r="AG18" s="1078">
        <f t="shared" si="5"/>
        <v>0</v>
      </c>
      <c r="AH18" s="1078">
        <f t="shared" si="5"/>
        <v>0</v>
      </c>
      <c r="AI18" s="1078">
        <f t="shared" si="5"/>
        <v>0</v>
      </c>
      <c r="AJ18" s="1078">
        <f t="shared" si="5"/>
        <v>939</v>
      </c>
      <c r="AK18" s="1078">
        <f t="shared" si="5"/>
        <v>8071</v>
      </c>
      <c r="AL18" s="1078">
        <f t="shared" si="5"/>
        <v>0</v>
      </c>
      <c r="AM18" s="1078">
        <f t="shared" si="5"/>
        <v>0</v>
      </c>
      <c r="AN18" s="1078">
        <f t="shared" si="5"/>
        <v>0</v>
      </c>
      <c r="AO18" s="1080">
        <f>IF(ISNUMBER(((NºAsuntos!I18/NºAsuntos!G18)*11)/factor_trimestre),((NºAsuntos!I18/NºAsuntos!G18)*11)/factor_trimestre," - ")</f>
        <v>1.1147063858928266</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40</v>
      </c>
      <c r="F19" s="966">
        <f t="shared" si="7"/>
        <v>5678</v>
      </c>
      <c r="G19" s="966">
        <f t="shared" si="7"/>
        <v>5979</v>
      </c>
      <c r="H19" s="967">
        <f t="shared" si="7"/>
        <v>0</v>
      </c>
      <c r="I19" s="966">
        <f t="shared" si="7"/>
        <v>0</v>
      </c>
      <c r="J19" s="968">
        <f t="shared" si="7"/>
        <v>0</v>
      </c>
      <c r="K19" s="966">
        <f t="shared" si="7"/>
        <v>0</v>
      </c>
      <c r="L19" s="969">
        <f t="shared" si="7"/>
        <v>0</v>
      </c>
      <c r="M19" s="966">
        <f t="shared" si="7"/>
        <v>0</v>
      </c>
      <c r="N19" s="967">
        <f t="shared" si="7"/>
        <v>2326</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11799</v>
      </c>
      <c r="Z19" s="973">
        <f t="shared" si="8"/>
        <v>4368</v>
      </c>
      <c r="AA19" s="974">
        <f t="shared" si="8"/>
        <v>6794</v>
      </c>
      <c r="AB19" s="974">
        <f t="shared" si="8"/>
        <v>0</v>
      </c>
      <c r="AC19" s="974">
        <f t="shared" si="8"/>
        <v>0</v>
      </c>
      <c r="AD19" s="975">
        <f t="shared" si="8"/>
        <v>0</v>
      </c>
      <c r="AE19" s="975">
        <f t="shared" si="8"/>
        <v>31459</v>
      </c>
      <c r="AF19" s="976">
        <f t="shared" si="8"/>
        <v>0</v>
      </c>
      <c r="AG19" s="977">
        <f t="shared" si="8"/>
        <v>0</v>
      </c>
      <c r="AH19" s="978">
        <f t="shared" si="8"/>
        <v>0</v>
      </c>
      <c r="AI19" s="976">
        <f t="shared" si="8"/>
        <v>0</v>
      </c>
      <c r="AJ19" s="966">
        <f t="shared" si="8"/>
        <v>2818</v>
      </c>
      <c r="AK19" s="966">
        <f t="shared" si="8"/>
        <v>11221</v>
      </c>
      <c r="AL19" s="966">
        <f t="shared" si="8"/>
        <v>0</v>
      </c>
      <c r="AM19" s="979">
        <f t="shared" si="8"/>
        <v>0</v>
      </c>
      <c r="AN19" s="969">
        <f>IF(ISNUMBER(Datos!K19/Datos!J19),Datos!K19/Datos!J19," - ")</f>
        <v>0.84340369393139847</v>
      </c>
      <c r="AO19" s="969">
        <f>IF(ISNUMBER(FIND("06",Criterios!A8,1)),(IF(ISNUMBER(((Datos!R19/Datos!Q19)*11)/factor_trimestre),((Datos!R19/Datos!Q19)*11)/factor_trimestre," - ")),(IF(ISNUMBER(((Datos!L19/Datos!K19)*11)/factor_trimestre),((Datos!L19/Datos!K19)*11)/factor_trimestre," - ")))</f>
        <v>3.2006882527764744</v>
      </c>
      <c r="AP19" s="980" t="str">
        <f>IF(ISNUMBER(Datos!CI19/Datos!CJ19),Datos!CI19/Datos!CJ19," - ")</f>
        <v xml:space="preserve"> - </v>
      </c>
      <c r="AQ19" s="980">
        <f>IF(OR(ISNUMBER(FIND("01",Criterios!A8,1)),ISNUMBER(FIND("02",Criterios!A8,1)),ISNUMBER(FIND("03",Criterios!A8,1)),ISNUMBER(FIND("04",Criterios!A8,1))),(J19-Y19+K19)/(F19-K19),(I19-Y19+K19)/(F19-K19))</f>
        <v>-2.0780204297287779</v>
      </c>
      <c r="AR19" s="980">
        <f>IF(ISNUMBER((Datos!P19-Datos!Q19+O19)/(Datos!R19-Datos!P19+Datos!Q19-O19)),(Datos!P19-Datos!Q19+O19)/(Datos!R19-Datos!P19+Datos!Q19-O19)," - ")</f>
        <v>-6.0953404375988778E-2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2391.6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2977.9726884800898</v>
      </c>
      <c r="G21" s="600">
        <f>IF(ISNUMBER(STDEV(G8:G18)),STDEV(G8:G18),"-")</f>
        <v>2833.7999752981859</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682.9659407250673</v>
      </c>
      <c r="AK21" s="256"/>
      <c r="AL21" s="256">
        <f>IF(ISNUMBER(STDEV(AL8:AL18)),STDEV(AL8:AL18),"-")</f>
        <v>0</v>
      </c>
      <c r="AM21" s="258">
        <f>IF(ISNUMBER(STDEV(AM8:AM18)),STDEV(AM8:AM18),"-")</f>
        <v>0</v>
      </c>
      <c r="AN21" s="586">
        <f>IF(ISNUMBER(STDEV(AN8:AN18)),STDEV(AN8:AN18),"-")</f>
        <v>0</v>
      </c>
      <c r="AO21" s="587">
        <f>IF(ISNUMBER(STDEV(AO8:AO18)),STDEV(AO8:AO18),"-")</f>
        <v>2.4448605481016563</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G0ni+p/NV2AjsReFpThcIMPqWvT6jqBw5MLduxll33UQUIHT4ELQJL8CyOq1xW6/y6XUgG8KMph1TXNh8oiZbw==" saltValue="R9rWKEOWyKkn4dT5oMpQ1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K8WF+dnDb/d0dZJYgUBwYi80t8FHoJYsdi2LLuTYKWfkbxa+B73aJr57/0Gghgt+wDiTmKdgVHhS4lM7Npr7JA==" saltValue="BEVm8DfwWEIXOkP1qOuy/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ErARIsCRuBURvQUcztgnziqrgr0V/Fjx6Pudr25E+MdN6UB9sMneS/7kA45HQdx32wDmtjg6k9VUtm1WJTQetA==" saltValue="qfd+roqHVKTb+/WKITDjV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ARAGON</v>
      </c>
      <c r="F1" s="752"/>
    </row>
    <row r="2" spans="1:75" ht="16.5" customHeight="1">
      <c r="C2" s="520" t="str">
        <f>Criterios!A10 &amp;"  "&amp;Criterios!B10 &amp; "  " &amp; IF(NOT(ISBLANK(Criterios!A11)),Criterios!A11 &amp;"  "&amp;Criterios!B11,"")</f>
        <v>Provincias  ZARAGOZA  Resumenes por Partidos Judiciales  ZARAGOZA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0.23026960784313724</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0.16282520120704935</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zhW8JhUp4CJGI94087AMmqMcfXDRHqb17FjwqbL8V/nYRevjdx4Da3oOTLZevpklWNsu8CvmuxNekSm0bYjkTw==" saltValue="h2NKPepRlAZdLQUH4bCAi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Rww0t/bbGwKmfRpxoxuV4TsGGmxldNO/1c1F0PWmjZwGBz94XvYZPPSqrK17UqXgHyeY2ExBMKSo2yMyIVSKOQ==" saltValue="w0cLijVT76vOKdbYivkmI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ARAGON</v>
      </c>
      <c r="C2" s="399"/>
      <c r="D2" s="399"/>
      <c r="E2" s="399"/>
      <c r="F2" s="399"/>
    </row>
    <row r="3" spans="1:14" ht="19.5">
      <c r="A3" s="401" t="s">
        <v>115</v>
      </c>
      <c r="B3" s="402" t="str">
        <f>Criterios!A10 &amp;"  "&amp;Criterios!B10</f>
        <v>Provincias  ZARAGOZA</v>
      </c>
      <c r="D3" s="399"/>
      <c r="E3" s="399"/>
      <c r="F3" s="399"/>
    </row>
    <row r="4" spans="1:14" ht="13.5" thickBot="1">
      <c r="A4" s="399"/>
      <c r="B4" s="402" t="str">
        <f>Criterios!A11 &amp;"  "&amp;Criterios!B11</f>
        <v>Resumenes por Partidos Judiciales  ZARAGOZA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18</v>
      </c>
      <c r="C9" s="414">
        <f>IF(ISNUMBER(IF(J_V="SI",Datos!I9,Datos!I9+Datos!Y9)),IF(J_V="SI",Datos!I9,Datos!I9+Datos!Y9)," - ")</f>
        <v>19926</v>
      </c>
      <c r="D9" s="415">
        <f>IF(ISNUMBER(C9/Datos!BH9),C9/Datos!BH9," - ")</f>
        <v>1107</v>
      </c>
      <c r="E9" s="414">
        <f>IF(ISNUMBER(IF(J_V="SI",Datos!J9,Datos!J9+Datos!Z9)),IF(J_V="SI",Datos!J9,Datos!J9+Datos!Z9)," - ")</f>
        <v>10080</v>
      </c>
      <c r="F9" s="415">
        <f>IF(ISNUMBER(E9/B9),E9/B9," - ")</f>
        <v>560</v>
      </c>
      <c r="G9" s="414">
        <f>IF(ISNUMBER(IF(J_V="SI",Datos!K9,Datos!K9+Datos!AA9)),IF(J_V="SI",Datos!K9,Datos!K9+Datos!AA9)," - ")</f>
        <v>7077</v>
      </c>
      <c r="H9" s="415">
        <f>IF(ISNUMBER(G9/B9),G9/B9," - ")</f>
        <v>393.16666666666669</v>
      </c>
      <c r="I9" s="414">
        <f>IF(ISNUMBER(IF(J_V="SI",Datos!L9,Datos!L9+Datos!AB9)),IF(J_V="SI",Datos!L9,Datos!L9+Datos!AB9)," - ")</f>
        <v>23050</v>
      </c>
      <c r="J9" s="415">
        <f>IF(ISNUMBER(I9/B9),I9/B9," - ")</f>
        <v>1280.5555555555557</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3</v>
      </c>
      <c r="C10" s="414">
        <f>IF(ISNUMBER(Datos!I10),Datos!I10," - ")</f>
        <v>260</v>
      </c>
      <c r="D10" s="415">
        <f>IF(ISNUMBER(C10/Datos!BH10),C10/Datos!BH10," - ")</f>
        <v>86.666666666666671</v>
      </c>
      <c r="E10" s="414">
        <f>IF(ISNUMBER(Datos!J10),Datos!J10," - ")</f>
        <v>140</v>
      </c>
      <c r="F10" s="415">
        <f>IF(ISNUMBER(E10/B10),E10/B10," - ")</f>
        <v>46.666666666666664</v>
      </c>
      <c r="G10" s="414">
        <f>IF(ISNUMBER(Datos!K10),Datos!K10," - ")</f>
        <v>117</v>
      </c>
      <c r="H10" s="415">
        <f>IF(ISNUMBER(G10/B10),G10/B10," - ")</f>
        <v>39</v>
      </c>
      <c r="I10" s="414">
        <f>IF(ISNUMBER(Datos!L10),Datos!L10," - ")</f>
        <v>283</v>
      </c>
      <c r="J10" s="415">
        <f>IF(ISNUMBER(I10/B10),I10/B10," - ")</f>
        <v>94.333333333333329</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4</v>
      </c>
      <c r="C11" s="414">
        <f>IF(ISNUMBER(IF(J_V="SI",Datos!I11,Datos!I11+Datos!Y11)),IF(J_V="SI",Datos!I11,Datos!I11+Datos!Y11)," - ")</f>
        <v>1513</v>
      </c>
      <c r="D11" s="415">
        <f>IF(ISNUMBER(C11/Datos!BH11),C11/Datos!BH11," - ")</f>
        <v>378.25</v>
      </c>
      <c r="E11" s="414">
        <f>IF(ISNUMBER(IF(J_V="SI",Datos!J11,Datos!J11+Datos!Z11)),IF(J_V="SI",Datos!J11,Datos!J11+Datos!Z11)," - ")</f>
        <v>960</v>
      </c>
      <c r="F11" s="415">
        <f>IF(ISNUMBER(E11/B11),E11/B11," - ")</f>
        <v>240</v>
      </c>
      <c r="G11" s="414">
        <f>IF(ISNUMBER(IF(J_V="SI",Datos!K11,Datos!K11+Datos!AA11)),IF(J_V="SI",Datos!K11,Datos!K11+Datos!AA11)," - ")</f>
        <v>966</v>
      </c>
      <c r="H11" s="415">
        <f>IF(ISNUMBER(G11/B11),G11/B11," - ")</f>
        <v>241.5</v>
      </c>
      <c r="I11" s="414">
        <f>IF(ISNUMBER(IF(J_V="SI",Datos!L11,Datos!L11+Datos!AB11)),IF(J_V="SI",Datos!L11,Datos!L11+Datos!AB11)," - ")</f>
        <v>1507</v>
      </c>
      <c r="J11" s="415">
        <f>IF(ISNUMBER(I11/B11),I11/B11," - ")</f>
        <v>376.75</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25</v>
      </c>
      <c r="C13" s="995">
        <f>SUBTOTAL(9,C8:C12)</f>
        <v>21699</v>
      </c>
      <c r="D13" s="996" t="str">
        <f>IF(ISNUMBER(C13/Datos!BI13),C13/Datos!BI13," - ")</f>
        <v xml:space="preserve"> - </v>
      </c>
      <c r="E13" s="995">
        <f>SUBTOTAL(9,E8:E12)</f>
        <v>11180</v>
      </c>
      <c r="F13" s="996">
        <f>IF(ISNUMBER(E13/B13),E13/B13," - ")</f>
        <v>447.2</v>
      </c>
      <c r="G13" s="995">
        <f>SUBTOTAL(9,G8:G12)</f>
        <v>8160</v>
      </c>
      <c r="H13" s="996">
        <f>IF(ISNUMBER(G13/B13),G13/B13," - ")</f>
        <v>326.39999999999998</v>
      </c>
      <c r="I13" s="995">
        <f>SUBTOTAL(9,I8:I12)</f>
        <v>24840</v>
      </c>
      <c r="J13" s="996">
        <f>IF(ISNUMBER(I13/B13),I13/B13," - ")</f>
        <v>993.6</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12</v>
      </c>
      <c r="C15" s="414">
        <f>IF(ISNUMBER(IF(D_I="SI",Datos!I15,Datos!I15+Datos!AC15)),IF(D_I="SI",Datos!I15,Datos!I15+Datos!AC15)," - ")</f>
        <v>5260</v>
      </c>
      <c r="D15" s="415">
        <f>IF(ISNUMBER(C15/Datos!BH15),C15/Datos!BH15," - ")</f>
        <v>438.33333333333331</v>
      </c>
      <c r="E15" s="414">
        <f>IF(ISNUMBER(IF(D_I="SI",Datos!J15,Datos!J15+Datos!AD15)),IF(D_I="SI",Datos!J15,Datos!J15+Datos!AD15)," - ")</f>
        <v>10519</v>
      </c>
      <c r="F15" s="415">
        <f>IF(ISNUMBER(E15/B15),E15/B15," - ")</f>
        <v>876.58333333333337</v>
      </c>
      <c r="G15" s="414">
        <f>IF(ISNUMBER(IF(D_I="SI",Datos!K15,Datos!K15+Datos!AE15)),IF(D_I="SI",Datos!K15,Datos!K15+Datos!AE15)," - ")</f>
        <v>10094</v>
      </c>
      <c r="H15" s="415">
        <f>IF(ISNUMBER(G15/B15),G15/B15," - ")</f>
        <v>841.16666666666663</v>
      </c>
      <c r="I15" s="414">
        <f>IF(ISNUMBER(IF(D_I="SI",Datos!L15,Datos!L15+Datos!AF15)),IF(D_I="SI",Datos!L15,Datos!L15+Datos!AF15)," - ")</f>
        <v>5843</v>
      </c>
      <c r="J15" s="415">
        <f>IF(ISNUMBER(I15/B15),I15/B15," - ")</f>
        <v>486.91666666666669</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3</v>
      </c>
      <c r="C17" s="414">
        <f>IF(ISNUMBER(IF(D_I="SI",Datos!I17,Datos!I17+Datos!AC17)),IF(D_I="SI",Datos!I17,Datos!I17+Datos!AC17)," - ")</f>
        <v>459</v>
      </c>
      <c r="D17" s="415">
        <f>IF(ISNUMBER(C17/Datos!BH17),C17/Datos!BH17," - ")</f>
        <v>153</v>
      </c>
      <c r="E17" s="414">
        <f>IF(ISNUMBER(IF(D_I="SI",Datos!J17,Datos!J17+Datos!AD17)),IF(D_I="SI",Datos!J17,Datos!J17+Datos!AD17)," - ")</f>
        <v>1790</v>
      </c>
      <c r="F17" s="415">
        <f>IF(ISNUMBER(E17/B17),E17/B17," - ")</f>
        <v>596.66666666666663</v>
      </c>
      <c r="G17" s="414">
        <f>IF(ISNUMBER(IF(D_I="SI",Datos!K17,Datos!K17+Datos!AE17)),IF(D_I="SI",Datos!K17,Datos!K17+Datos!AE17)," - ")</f>
        <v>1588</v>
      </c>
      <c r="H17" s="415">
        <f>IF(ISNUMBER(G17/B17),G17/B17," - ")</f>
        <v>529.33333333333337</v>
      </c>
      <c r="I17" s="414">
        <f>IF(ISNUMBER(IF(D_I="SI",Datos!L17,Datos!L17+Datos!AF17)),IF(D_I="SI",Datos!L17,Datos!L17+Datos!AF17)," - ")</f>
        <v>668</v>
      </c>
      <c r="J17" s="415">
        <f>IF(ISNUMBER(I17/B17),I17/B17," - ")</f>
        <v>222.66666666666666</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15</v>
      </c>
      <c r="C18" s="995">
        <f>SUBTOTAL(9,C14:C17)</f>
        <v>5719</v>
      </c>
      <c r="D18" s="996" t="str">
        <f>IF(ISNUMBER(C18/Datos!BI18),C18/Datos!BI18," - ")</f>
        <v xml:space="preserve"> - </v>
      </c>
      <c r="E18" s="995">
        <f>SUBTOTAL(9,E14:E17)</f>
        <v>12309</v>
      </c>
      <c r="F18" s="996">
        <f>IF(ISNUMBER(E18/B18),E18/B18," - ")</f>
        <v>820.6</v>
      </c>
      <c r="G18" s="995">
        <f>SUBTOTAL(9,G14:G17)</f>
        <v>11682</v>
      </c>
      <c r="H18" s="996">
        <f>IF(ISNUMBER(G18/B18),G18/B18," - ")</f>
        <v>778.8</v>
      </c>
      <c r="I18" s="995">
        <f>SUBTOTAL(9,I14:I17)</f>
        <v>6511</v>
      </c>
      <c r="J18" s="996">
        <f>IF(ISNUMBER(I18/B18),I18/B18," - ")</f>
        <v>434.06666666666666</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37</v>
      </c>
      <c r="C19" s="940">
        <f>SUBTOTAL(9,C9:C18)</f>
        <v>27418</v>
      </c>
      <c r="D19" s="941" t="str">
        <f>IF(ISNUMBER(C19/Datos!BI19),C19/Datos!BI19," - ")</f>
        <v xml:space="preserve"> - </v>
      </c>
      <c r="E19" s="940">
        <f>SUBTOTAL(9,E9:E18)</f>
        <v>23489</v>
      </c>
      <c r="F19" s="941">
        <f>IF(ISNUMBER(E19/B19),E19/B19," - ")</f>
        <v>634.83783783783781</v>
      </c>
      <c r="G19" s="940">
        <f>SUBTOTAL(9,G9:G18)</f>
        <v>19842</v>
      </c>
      <c r="H19" s="941">
        <f>IF(ISNUMBER(G19/B19),G19/B19," - ")</f>
        <v>536.27027027027032</v>
      </c>
      <c r="I19" s="940">
        <f>SUBTOTAL(9,I9:I18)</f>
        <v>31351</v>
      </c>
      <c r="J19" s="941">
        <f>IF(ISNUMBER(I19/B19),I19/B19," - ")</f>
        <v>847.32432432432438</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jdyzqlCkJm3qrLxfppskuUGEpjHBgiG16rysxf/OWEXn8NAqsBMxSGKeL1PvSryFGLfyiiMRp+MaoZXOn/WToA==" saltValue="GbNaP8k4XDHzNhI8XUSal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ARAGON</v>
      </c>
      <c r="F1" s="752"/>
      <c r="W1"/>
      <c r="X1"/>
      <c r="BE1" s="752"/>
    </row>
    <row r="2" spans="1:65" ht="16.5" customHeight="1">
      <c r="C2" s="520" t="str">
        <f>Criterios!A10 &amp;"  "&amp;Criterios!B10 &amp; "  " &amp; IF(NOT(ISBLANK(Criterios!A11)),Criterios!A11 &amp;"  "&amp;Criterios!B11,"")</f>
        <v>Provincias  ZARAGOZA  Resumenes por Partidos Judiciales  ZARAGOZA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18</v>
      </c>
      <c r="B9" s="652" t="s">
        <v>249</v>
      </c>
      <c r="C9" s="670" t="str">
        <f>Datos!A9</f>
        <v xml:space="preserve">Jdos. 1ª Instancia   </v>
      </c>
      <c r="D9" s="543"/>
      <c r="E9" s="800">
        <f>IF(ISNUMBER(Datos!AQ9),Datos!AQ9," - ")</f>
        <v>18</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3</v>
      </c>
      <c r="B10" s="653" t="s">
        <v>249</v>
      </c>
      <c r="C10" s="654" t="str">
        <f>Datos!A10</f>
        <v>Jdos. Violencia contra la mujer</v>
      </c>
      <c r="D10" s="548"/>
      <c r="E10" s="800">
        <f>IF(ISNUMBER(Datos!AQ10),Datos!AQ10," - ")</f>
        <v>3</v>
      </c>
      <c r="F10" s="801">
        <f>IF(ISNUMBER(Datos!L10+Datos!K10-Datos!J10),Datos!L10+Datos!K10-Datos!J10," - ")</f>
        <v>260</v>
      </c>
      <c r="G10" s="802">
        <f>IF(ISNUMBER(Datos!I10),Datos!I10," - ")</f>
        <v>260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29</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117</v>
      </c>
      <c r="AC10" s="801" t="str">
        <f>IF(ISNUMBER(IF(D_I="SI",DatosP!K17,DatosP!K17+DatosP!AE17)),IF(D_I="SI",DatosP!K17,DatosP!K17+DatosP!AE17)," - ")</f>
        <v xml:space="preserve"> - </v>
      </c>
      <c r="AD10" s="803"/>
      <c r="AE10" s="803"/>
      <c r="AF10" s="806">
        <f>IF(ISNUMBER(Datos!L10),Datos!L10,"-")</f>
        <v>283</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44</v>
      </c>
      <c r="AM10" s="810">
        <f>IF(ISNUMBER(Datos!N10+DatosP!N17),Datos!N10+DatosP!N17," - ")</f>
        <v>45</v>
      </c>
      <c r="AN10" s="810">
        <f>IF(ISNUMBER(Datos!BW10+DatosP!BW17),Datos!BW10+DatosP!BW17," - ")</f>
        <v>0</v>
      </c>
      <c r="AO10" s="811">
        <f>IF(ISNUMBER(Datos!BX10+DatosP!BX17),Datos!BX10+DatosP!BX17," - ")</f>
        <v>0</v>
      </c>
      <c r="AP10" s="813">
        <f>IF(ISNUMBER(((Datos!L10/Datos!K10)*11)/factor_trimestre),((Datos!L10/Datos!K10)*11)/factor_trimestre," - ")</f>
        <v>4.8376068376068373</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4</v>
      </c>
      <c r="B11" s="653" t="s">
        <v>249</v>
      </c>
      <c r="C11" s="654" t="str">
        <f>Datos!A11</f>
        <v xml:space="preserve">Jdos. Familia                                   </v>
      </c>
      <c r="D11" s="548"/>
      <c r="E11" s="800">
        <f>IF(ISNUMBER(Datos!AQ11),Datos!AQ11," - ")</f>
        <v>4</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25</v>
      </c>
      <c r="F13" s="1084">
        <f t="shared" si="0"/>
        <v>260</v>
      </c>
      <c r="G13" s="1084">
        <f t="shared" si="0"/>
        <v>260</v>
      </c>
      <c r="H13" s="1084">
        <f t="shared" si="0"/>
        <v>0</v>
      </c>
      <c r="I13" s="1086">
        <f t="shared" si="0"/>
        <v>0</v>
      </c>
      <c r="J13" s="1085">
        <f t="shared" si="0"/>
        <v>0</v>
      </c>
      <c r="K13" s="1085">
        <f t="shared" si="0"/>
        <v>0</v>
      </c>
      <c r="L13" s="1087">
        <f t="shared" si="0"/>
        <v>0</v>
      </c>
      <c r="M13" s="1087">
        <f t="shared" si="0"/>
        <v>0</v>
      </c>
      <c r="N13" s="1085">
        <f t="shared" si="0"/>
        <v>29</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117</v>
      </c>
      <c r="AC13" s="1085">
        <f t="shared" si="1"/>
        <v>0</v>
      </c>
      <c r="AD13" s="1085">
        <f t="shared" si="1"/>
        <v>0</v>
      </c>
      <c r="AE13" s="1085">
        <f t="shared" si="1"/>
        <v>0</v>
      </c>
      <c r="AF13" s="1085">
        <f t="shared" si="1"/>
        <v>283</v>
      </c>
      <c r="AG13" s="1085">
        <f t="shared" si="1"/>
        <v>0</v>
      </c>
      <c r="AH13" s="1085">
        <f t="shared" si="1"/>
        <v>0</v>
      </c>
      <c r="AI13" s="1085">
        <f t="shared" si="1"/>
        <v>0</v>
      </c>
      <c r="AJ13" s="1085">
        <f t="shared" si="1"/>
        <v>0</v>
      </c>
      <c r="AK13" s="1085">
        <f t="shared" si="1"/>
        <v>0</v>
      </c>
      <c r="AL13" s="1085">
        <f t="shared" si="1"/>
        <v>44</v>
      </c>
      <c r="AM13" s="1085">
        <f t="shared" si="1"/>
        <v>45</v>
      </c>
      <c r="AN13" s="1085">
        <f t="shared" si="1"/>
        <v>0</v>
      </c>
      <c r="AO13" s="1085">
        <f t="shared" si="1"/>
        <v>0</v>
      </c>
      <c r="AP13" s="1090">
        <f>IF(ISNUMBER(((Datos!L13/Datos!K13)*11)/factor_trimestre),((Datos!L13/Datos!K13)*11)/factor_trimestre," - ")</f>
        <v>6.4511137788448716</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-0.45</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12</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3</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1.1147063858928266</v>
      </c>
      <c r="AQ18" s="1090">
        <f>IF(ISNUMBER(((Datos!M18/Datos!L18)*11)/factor_trimestre),((Datos!M18/Datos!L18)*11)/factor_trimestre," - ")</f>
        <v>0.28843495622792198</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4.1666666666666664E-2</v>
      </c>
      <c r="AW18" s="1092">
        <f>IF(ISNUMBER((Datos!Q18-Datos!R18)/(Datos!S18-Datos!Q18+Datos!R18)),(Datos!Q18-Datos!R18)/(Datos!S18-Datos!Q18+Datos!R18)," - ")</f>
        <v>-0.14746457867263235</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25</v>
      </c>
      <c r="F19" s="1097">
        <f t="shared" si="4"/>
        <v>260</v>
      </c>
      <c r="G19" s="1097">
        <f t="shared" si="4"/>
        <v>260</v>
      </c>
      <c r="H19" s="1097">
        <f t="shared" si="4"/>
        <v>0</v>
      </c>
      <c r="I19" s="1098">
        <f t="shared" si="4"/>
        <v>0</v>
      </c>
      <c r="J19" s="1099">
        <f t="shared" si="4"/>
        <v>0</v>
      </c>
      <c r="K19" s="1099">
        <f t="shared" si="4"/>
        <v>0</v>
      </c>
      <c r="L19" s="1099">
        <f t="shared" si="4"/>
        <v>0</v>
      </c>
      <c r="M19" s="1099">
        <f t="shared" si="4"/>
        <v>0</v>
      </c>
      <c r="N19" s="1098">
        <f t="shared" si="4"/>
        <v>29</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117</v>
      </c>
      <c r="AC19" s="1103">
        <f t="shared" si="5"/>
        <v>0</v>
      </c>
      <c r="AD19" s="1103">
        <f t="shared" si="5"/>
        <v>0</v>
      </c>
      <c r="AE19" s="1103">
        <f t="shared" si="5"/>
        <v>0</v>
      </c>
      <c r="AF19" s="1104">
        <f t="shared" si="5"/>
        <v>283</v>
      </c>
      <c r="AG19" s="1104">
        <f t="shared" si="5"/>
        <v>0</v>
      </c>
      <c r="AH19" s="1104">
        <f t="shared" si="5"/>
        <v>0</v>
      </c>
      <c r="AI19" s="1104">
        <f t="shared" si="5"/>
        <v>0</v>
      </c>
      <c r="AJ19" s="1105">
        <f t="shared" si="5"/>
        <v>0</v>
      </c>
      <c r="AK19" s="1105">
        <f t="shared" si="5"/>
        <v>0</v>
      </c>
      <c r="AL19" s="1097">
        <f t="shared" si="5"/>
        <v>44</v>
      </c>
      <c r="AM19" s="1097">
        <f t="shared" si="5"/>
        <v>45</v>
      </c>
      <c r="AN19" s="1097">
        <f t="shared" si="5"/>
        <v>0</v>
      </c>
      <c r="AO19" s="1097">
        <f t="shared" si="5"/>
        <v>0</v>
      </c>
      <c r="AP19" s="1097">
        <f>IF(ISNUMBER(((Datos!L19/Datos!K19)*11)/factor_trimestre),((Datos!L19/Datos!K19)*11)/factor_trimestre," - ")</f>
        <v>3.2006882527764744</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-0.45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-6.0953404375988778E-2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173.33333333333334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10.557777543908882</v>
      </c>
      <c r="F21" s="869">
        <f>IF(ISNUMBER(STDEV(F8:F18)),STDEV(F8:F18),"-")</f>
        <v>150.11106998930271</v>
      </c>
      <c r="G21" s="870">
        <f>IF(ISNUMBER(STDEV(G8:G18)),STDEV(G8:G18),"-")</f>
        <v>150.11106998930271</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67.549981495186216</v>
      </c>
      <c r="AC21" s="871">
        <f>IF(ISNUMBER(STDEV(AC8:AC18)),STDEV(AC8:AC18),"-")</f>
        <v>0</v>
      </c>
      <c r="AD21" s="874"/>
      <c r="AE21" s="874"/>
      <c r="AF21" s="874"/>
      <c r="AG21" s="874"/>
      <c r="AH21" s="874"/>
      <c r="AI21" s="874"/>
      <c r="AJ21" s="875">
        <f>IF(ISNUMBER(STDEV(AJ8:AJ18)),STDEV(AJ8:AJ18),"-")</f>
        <v>0</v>
      </c>
      <c r="AK21" s="877"/>
      <c r="AL21" s="869">
        <f>IF(ISNUMBER(STDEV(AL8:AL18)),STDEV(AL8:AL18),"-")</f>
        <v>25.40341184434353</v>
      </c>
      <c r="AM21" s="869"/>
      <c r="AN21" s="869">
        <f>IF(ISNUMBER(STDEV(AN8:AN18)),STDEV(AN8:AN18),"-")</f>
        <v>0</v>
      </c>
      <c r="AO21" s="875">
        <f>IF(ISNUMBER(STDEV(AO8:AO18)),STDEV(AO8:AO18),"-")</f>
        <v>0</v>
      </c>
      <c r="AP21" s="922">
        <f>IF(ISNUMBER(STDEV(AP8:AP18)),STDEV(AP8:AP18),"-")</f>
        <v>2.7368058111098832</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kR+JXKVfGhWWhOwQpEky3Fh/UQMmr+ccnMxT1A8CsVk6mXRKdxKbGp1y2jWLUfS0eiWmRpO7futewogmSz9oiQ==" saltValue="mARvwc7WIQpgVIxY/gvo7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ARAGON</v>
      </c>
      <c r="C2" s="399"/>
      <c r="E2" s="399"/>
      <c r="F2" s="399"/>
      <c r="G2" s="399"/>
      <c r="H2" s="399"/>
    </row>
    <row r="3" spans="1:15" ht="39">
      <c r="A3" s="426" t="s">
        <v>221</v>
      </c>
      <c r="B3" s="402" t="str">
        <f>Criterios!A10 &amp;"  "&amp;Criterios!B10</f>
        <v>Provincias  ZARAGOZA</v>
      </c>
      <c r="C3" s="426"/>
      <c r="F3" s="399"/>
      <c r="G3" s="399"/>
      <c r="H3" s="399"/>
    </row>
    <row r="4" spans="1:15" ht="13.5" thickBot="1">
      <c r="A4" s="399"/>
      <c r="B4" s="402" t="str">
        <f>Criterios!A11 &amp;"  "&amp;Criterios!B11</f>
        <v>Resumenes por Partidos Judiciales  ZARAGOZA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18</v>
      </c>
      <c r="D9" s="414">
        <f>Datos!BK9</f>
        <v>0</v>
      </c>
      <c r="E9" s="414">
        <f>Datos!AQ9</f>
        <v>18</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3</v>
      </c>
      <c r="D10" s="414">
        <f>Datos!BK10</f>
        <v>0</v>
      </c>
      <c r="E10" s="414">
        <f>Datos!AQ10</f>
        <v>3</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4</v>
      </c>
      <c r="D11" s="414">
        <f>Datos!BK11</f>
        <v>0</v>
      </c>
      <c r="E11" s="414">
        <f>Datos!AQ11</f>
        <v>4</v>
      </c>
      <c r="F11" s="415">
        <f>IF(ISNUMBER(E11/Datos!BH11),E11/Datos!BH11," - ")</f>
        <v>1</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12</v>
      </c>
      <c r="D15" s="414">
        <f>Datos!BK15</f>
        <v>0</v>
      </c>
      <c r="E15" s="414">
        <f>Datos!AQ15</f>
        <v>12</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3</v>
      </c>
      <c r="D17" s="414">
        <f>Datos!BK17</f>
        <v>0</v>
      </c>
      <c r="E17" s="414">
        <f>Datos!AQ17</f>
        <v>3</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oHL8sV2F0FlKxtihFWYkC7wQ0UxAWdLPqDnwfB95VkyV0BWovsmh+dq7Kz7ENi7QHBpYhBq6hZtcsbXiN+qpNA==" saltValue="OHhg5ofcqet5qsGGmHiJX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ARAGON</v>
      </c>
      <c r="C2" s="438"/>
      <c r="D2" s="381"/>
    </row>
    <row r="3" spans="1:9" ht="19.5">
      <c r="A3" s="439" t="s">
        <v>11</v>
      </c>
      <c r="B3" s="440" t="str">
        <f>Criterios!A10 &amp;"  "&amp;Criterios!B10</f>
        <v>Provincias  ZARAGOZA</v>
      </c>
      <c r="C3" s="438"/>
      <c r="D3" s="439"/>
    </row>
    <row r="4" spans="1:9" ht="13.5" thickBot="1">
      <c r="B4" s="440" t="str">
        <f>Criterios!A11 &amp;"  "&amp;Criterios!B11</f>
        <v>Resumenes por Partidos Judiciales  ZARAGOZA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18</v>
      </c>
      <c r="C9" s="421">
        <f>Datos!AQ9</f>
        <v>18</v>
      </c>
      <c r="D9" s="414">
        <f>IF(ISNUMBER(Datos!M9),Datos!M9," - ")</f>
        <v>1464</v>
      </c>
      <c r="E9" s="415">
        <f t="shared" ref="E9:E13" si="0">IF(ISNUMBER(D9/B9),D9/B9," - ")</f>
        <v>81.333333333333329</v>
      </c>
      <c r="F9" s="414">
        <f>IF(ISNUMBER(Datos!N9),Datos!N9," - ")</f>
        <v>2777</v>
      </c>
      <c r="G9" s="415">
        <f t="shared" ref="G9:G13" si="1">IF(ISNUMBER(F9/B9),F9/B9," - ")</f>
        <v>154.27777777777777</v>
      </c>
      <c r="H9" s="414">
        <f>IF(ISNUMBER(Datos!O9),Datos!O9," - ")</f>
        <v>3626</v>
      </c>
      <c r="I9" s="415">
        <f>IF(ISNUMBER(H9/B9),H9/B9," - ")</f>
        <v>201.44444444444446</v>
      </c>
    </row>
    <row r="10" spans="1:9">
      <c r="A10" s="413" t="str">
        <f>Datos!A10</f>
        <v>Jdos. Violencia contra la mujer</v>
      </c>
      <c r="B10" s="443">
        <f>Datos!AO10</f>
        <v>3</v>
      </c>
      <c r="C10" s="421">
        <f>Datos!AQ10</f>
        <v>3</v>
      </c>
      <c r="D10" s="414">
        <f>IF(ISNUMBER(Datos!M10),Datos!M10," - ")</f>
        <v>44</v>
      </c>
      <c r="E10" s="415">
        <f>IF(ISNUMBER(D10/B10),D10/B10," - ")</f>
        <v>14.666666666666666</v>
      </c>
      <c r="F10" s="414">
        <f>IF(ISNUMBER(Datos!N10),Datos!N10," - ")</f>
        <v>45</v>
      </c>
      <c r="G10" s="415">
        <f>IF(ISNUMBER(F10/B10),F10/B10," - ")</f>
        <v>15</v>
      </c>
      <c r="H10" s="414">
        <f>IF(ISNUMBER(Datos!O10),Datos!O10," - ")</f>
        <v>20</v>
      </c>
      <c r="I10" s="415">
        <f t="shared" ref="I10:I12" si="2">IF(ISNUMBER(H10/B10),H10/B10," - ")</f>
        <v>6.666666666666667</v>
      </c>
    </row>
    <row r="11" spans="1:9">
      <c r="A11" s="413" t="str">
        <f>Datos!A11</f>
        <v xml:space="preserve">Jdos. Familia                                   </v>
      </c>
      <c r="B11" s="443">
        <f>Datos!AO11</f>
        <v>4</v>
      </c>
      <c r="C11" s="421">
        <f>Datos!AQ11</f>
        <v>4</v>
      </c>
      <c r="D11" s="414">
        <f>IF(ISNUMBER(Datos!M11),Datos!M11," - ")</f>
        <v>371</v>
      </c>
      <c r="E11" s="415">
        <f t="shared" si="0"/>
        <v>92.75</v>
      </c>
      <c r="F11" s="414">
        <f>IF(ISNUMBER(Datos!N11),Datos!N11," - ")</f>
        <v>328</v>
      </c>
      <c r="G11" s="415">
        <f t="shared" si="1"/>
        <v>82</v>
      </c>
      <c r="H11" s="414">
        <f>IF(ISNUMBER(Datos!O11),Datos!O11," - ")</f>
        <v>352</v>
      </c>
      <c r="I11" s="415">
        <f t="shared" si="2"/>
        <v>88</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25</v>
      </c>
      <c r="C13" s="997">
        <f>Datos!AR13</f>
        <v>25</v>
      </c>
      <c r="D13" s="995">
        <f>SUBTOTAL(9,D9:D12)</f>
        <v>1879</v>
      </c>
      <c r="E13" s="996">
        <f t="shared" si="0"/>
        <v>75.16</v>
      </c>
      <c r="F13" s="995">
        <f>SUBTOTAL(9,F9:F12)</f>
        <v>3150</v>
      </c>
      <c r="G13" s="996">
        <f t="shared" si="1"/>
        <v>126</v>
      </c>
      <c r="H13" s="995">
        <f>SUBTOTAL(9,H9:H12)</f>
        <v>3998</v>
      </c>
      <c r="I13" s="996">
        <f>IF(ISNUMBER(H13/B13),H13/B13," - ")</f>
        <v>159.91999999999999</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12</v>
      </c>
      <c r="C15" s="444">
        <f>Datos!AQ15</f>
        <v>12</v>
      </c>
      <c r="D15" s="414">
        <f>IF(ISNUMBER(Datos!M15),Datos!M15," - ")</f>
        <v>786</v>
      </c>
      <c r="E15" s="415">
        <f t="shared" ref="E15:E18" si="3">IF(ISNUMBER(D15/B15),D15/B15," - ")</f>
        <v>65.5</v>
      </c>
      <c r="F15" s="414">
        <f>IF(ISNUMBER(Datos!N15),Datos!N15," - ")</f>
        <v>7295</v>
      </c>
      <c r="G15" s="415">
        <f t="shared" ref="G15:G18" si="4">IF(ISNUMBER(F15/B15),F15/B15," - ")</f>
        <v>607.91666666666663</v>
      </c>
      <c r="H15" s="414">
        <f>IF(ISNUMBER(Datos!O15),Datos!O15," - ")</f>
        <v>282</v>
      </c>
      <c r="I15" s="415">
        <f t="shared" ref="I15:I17" si="5">IF(ISNUMBER(H15/B15),H15/B15," - ")</f>
        <v>23.5</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3</v>
      </c>
      <c r="C17" s="444">
        <f>Datos!AQ17</f>
        <v>3</v>
      </c>
      <c r="D17" s="414">
        <f>IF(ISNUMBER(Datos!M17),Datos!M17," - ")</f>
        <v>153</v>
      </c>
      <c r="E17" s="415">
        <f>IF(ISNUMBER(D17/B17),D17/B17," - ")</f>
        <v>51</v>
      </c>
      <c r="F17" s="414">
        <f>IF(ISNUMBER(Datos!N17),Datos!N17," - ")</f>
        <v>776</v>
      </c>
      <c r="G17" s="415">
        <f>IF(ISNUMBER(F17/B17),F17/B17," - ")</f>
        <v>258.66666666666669</v>
      </c>
      <c r="H17" s="414">
        <f>IF(ISNUMBER(Datos!O17),Datos!O17," - ")</f>
        <v>18</v>
      </c>
      <c r="I17" s="415">
        <f t="shared" si="5"/>
        <v>6</v>
      </c>
    </row>
    <row r="18" spans="1:9" ht="14.25" thickTop="1" thickBot="1">
      <c r="A18" s="994" t="str">
        <f>Datos!A18</f>
        <v>TOTAL</v>
      </c>
      <c r="B18" s="995">
        <f>Datos!AO18</f>
        <v>15</v>
      </c>
      <c r="C18" s="997">
        <f>Datos!AR18</f>
        <v>15</v>
      </c>
      <c r="D18" s="995">
        <f>SUBTOTAL(9,D15:D17)</f>
        <v>939</v>
      </c>
      <c r="E18" s="996">
        <f t="shared" si="3"/>
        <v>62.6</v>
      </c>
      <c r="F18" s="995">
        <f>SUBTOTAL(9,F15:F17)</f>
        <v>8071</v>
      </c>
      <c r="G18" s="996">
        <f t="shared" si="4"/>
        <v>538.06666666666672</v>
      </c>
      <c r="H18" s="995">
        <f>SUBTOTAL(9,H15:H17)</f>
        <v>300</v>
      </c>
      <c r="I18" s="996">
        <f>IF(ISNUMBER(H18/B18),H18/B18," - ")</f>
        <v>20</v>
      </c>
    </row>
    <row r="19" spans="1:9" ht="14.25" thickTop="1" thickBot="1">
      <c r="A19" s="939" t="str">
        <f>Datos!A19</f>
        <v>TOTAL JURISDICCIONES</v>
      </c>
      <c r="B19" s="940">
        <f>Datos!AP19</f>
        <v>37</v>
      </c>
      <c r="C19" s="940">
        <f>Datos!AR19</f>
        <v>37</v>
      </c>
      <c r="D19" s="940">
        <f>SUBTOTAL(9,D8:D18)</f>
        <v>2818</v>
      </c>
      <c r="E19" s="941">
        <f>IF(ISNUMBER(D19/B19),D19/B19," - ")</f>
        <v>76.162162162162161</v>
      </c>
      <c r="F19" s="940">
        <f>SUBTOTAL(9,F8:F18)</f>
        <v>11221</v>
      </c>
      <c r="G19" s="941">
        <f>IF(ISNUMBER(F19/B19),F19/B19," - ")</f>
        <v>303.27027027027026</v>
      </c>
      <c r="H19" s="940">
        <f>SUBTOTAL(9,H8:H18)</f>
        <v>4298</v>
      </c>
      <c r="I19" s="941">
        <f>IF(ISNUMBER(H19/B19),H19/B19," - ")</f>
        <v>116.16216216216216</v>
      </c>
    </row>
    <row r="22" spans="1:9">
      <c r="A22" s="402" t="str">
        <f>Criterios!A4</f>
        <v>Fecha Informe: 29 nov. 2023</v>
      </c>
    </row>
    <row r="27" spans="1:9">
      <c r="A27" s="425"/>
    </row>
  </sheetData>
  <sheetProtection algorithmName="SHA-512" hashValue="9D2X57ke5pfAV0jkImViUR9KEXUy9ZUlElZn4QRxRdkte5x7bG98SDHPZFt/FnVh0sH7PnTvgpKHVwaz25zNZQ==" saltValue="U7WaRxWf4HgIRx+FI5Jdo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ARAGON</v>
      </c>
    </row>
    <row r="3" spans="1:4" ht="19.5">
      <c r="A3" s="445" t="s">
        <v>32</v>
      </c>
      <c r="B3" s="402" t="str">
        <f>Criterios!A10 &amp;"  "&amp;Criterios!B10</f>
        <v>Provincias  ZARAGOZA</v>
      </c>
    </row>
    <row r="4" spans="1:4" ht="13.5" thickBot="1">
      <c r="B4" s="402" t="str">
        <f>Criterios!A11 &amp;"  "&amp;Criterios!B11</f>
        <v>Resumenes por Partidos Judiciales  ZARAGOZA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1715</v>
      </c>
      <c r="C9" s="450">
        <f>IF(ISNUMBER(Datos!Q9),Datos!Q9," - ")</f>
        <v>3710</v>
      </c>
      <c r="D9" s="419">
        <f>IF(ISNUMBER(Datos!R9),Datos!R9," - ")</f>
        <v>28453</v>
      </c>
    </row>
    <row r="10" spans="1:4">
      <c r="A10" s="413" t="str">
        <f>Datos!A10</f>
        <v>Jdos. Violencia contra la mujer</v>
      </c>
      <c r="B10" s="449">
        <f>IF(ISNUMBER(Datos!P10),Datos!P10," - ")</f>
        <v>29</v>
      </c>
      <c r="C10" s="450">
        <f>IF(ISNUMBER(Datos!Q10),Datos!Q10," - ")</f>
        <v>22</v>
      </c>
      <c r="D10" s="419">
        <f>IF(ISNUMBER(Datos!R10),Datos!R10," - ")</f>
        <v>288</v>
      </c>
    </row>
    <row r="11" spans="1:4">
      <c r="A11" s="413" t="str">
        <f>Datos!A11</f>
        <v xml:space="preserve">Jdos. Familia                                   </v>
      </c>
      <c r="B11" s="449">
        <f>IF(ISNUMBER(Datos!P11),Datos!P11," - ")</f>
        <v>125</v>
      </c>
      <c r="C11" s="450">
        <f>IF(ISNUMBER(Datos!Q11),Datos!Q11," - ")</f>
        <v>227</v>
      </c>
      <c r="D11" s="419">
        <f>IF(ISNUMBER(Datos!R11),Datos!R11," - ")</f>
        <v>1518</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1869</v>
      </c>
      <c r="C13" s="999">
        <f>SUBTOTAL(9,C9:C12)</f>
        <v>3959</v>
      </c>
      <c r="D13" s="997">
        <f>SUBTOTAL(9,D9:D12)</f>
        <v>30259</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424</v>
      </c>
      <c r="C15" s="450">
        <f>IF(ISNUMBER(Datos!Q15),Datos!Q15," - ")</f>
        <v>384</v>
      </c>
      <c r="D15" s="419">
        <f>IF(ISNUMBER(Datos!R15),Datos!R15," - ")</f>
        <v>1132</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33</v>
      </c>
      <c r="C17" s="450">
        <f>IF(ISNUMBER(Datos!Q17),Datos!Q17," - ")</f>
        <v>25</v>
      </c>
      <c r="D17" s="419">
        <f>IF(ISNUMBER(Datos!R17),Datos!R17," - ")</f>
        <v>68</v>
      </c>
    </row>
    <row r="18" spans="1:4" ht="14.25" thickTop="1" thickBot="1">
      <c r="A18" s="994" t="str">
        <f>Datos!A18</f>
        <v>TOTAL</v>
      </c>
      <c r="B18" s="995">
        <f>SUBTOTAL(9,B15:B17)</f>
        <v>457</v>
      </c>
      <c r="C18" s="999">
        <f>SUBTOTAL(9,C15:C17)</f>
        <v>409</v>
      </c>
      <c r="D18" s="997">
        <f>SUBTOTAL(9,D15:D17)</f>
        <v>1200</v>
      </c>
    </row>
    <row r="19" spans="1:4" ht="16.5" customHeight="1" thickTop="1" thickBot="1">
      <c r="A19" s="939" t="str">
        <f>Datos!A19</f>
        <v>TOTAL JURISDICCIONES</v>
      </c>
      <c r="B19" s="944">
        <f>SUBTOTAL(9,B8:B18)</f>
        <v>2326</v>
      </c>
      <c r="C19" s="945">
        <f>SUBTOTAL(9,C8:C18)</f>
        <v>4368</v>
      </c>
      <c r="D19" s="946">
        <f>SUBTOTAL(9,D8:D18)</f>
        <v>31459</v>
      </c>
    </row>
    <row r="20" spans="1:4" ht="7.5" customHeight="1"/>
    <row r="21" spans="1:4" ht="6" customHeight="1"/>
    <row r="22" spans="1:4">
      <c r="A22" s="402" t="str">
        <f>Criterios!A4</f>
        <v>Fecha Informe: 29 nov. 2023</v>
      </c>
    </row>
    <row r="27" spans="1:4">
      <c r="A27" s="425"/>
    </row>
  </sheetData>
  <sheetProtection algorithmName="SHA-512" hashValue="VTrCaSw2zTWIOwO5SX/tuR3ZJQemeAIZeKG5B63IeL3DoLbL1ana1Fge1tVe+iHJJHgzjYFBL7uqoQoQQokGHQ==" saltValue="1FSKUwadoa7YBwVzymn5t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ARAGON</v>
      </c>
    </row>
    <row r="3" spans="1:11" ht="18.75" customHeight="1">
      <c r="A3" s="445" t="s">
        <v>118</v>
      </c>
      <c r="B3" s="402" t="str">
        <f>Criterios!A10 &amp;"  "&amp;Criterios!B10</f>
        <v>Provincias  ZARAGOZA</v>
      </c>
    </row>
    <row r="4" spans="1:11" ht="10.5" customHeight="1" thickBot="1">
      <c r="B4" s="402" t="str">
        <f>Criterios!A11 &amp;"  "&amp;Criterios!B11</f>
        <v>Resumenes por Partidos Judiciales  ZARAGOZA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0.33212996389891697</v>
      </c>
      <c r="C9" s="472">
        <f>IF(ISNUMBER(
   IF(J_V="SI",(Datos!J9-Datos!T9)/Datos!T9,(Datos!J9+Datos!Z9-(Datos!T9+Datos!AH9))/(Datos!T9+Datos!AH9))
     ),IF(J_V="SI",(Datos!J9-Datos!T9)/Datos!T9,(Datos!J9+Datos!Z9-(Datos!T9+Datos!AH9))/(Datos!T9+Datos!AH9))," - ")</f>
        <v>0.30519228279166127</v>
      </c>
      <c r="D9" s="472">
        <f>IF(ISNUMBER(
   IF(J_V="SI",(Datos!K9-Datos!U9)/Datos!U9,(Datos!K9+Datos!AA9-(Datos!U9+Datos!AI9))/(Datos!U9+Datos!AI9))
     ),IF(J_V="SI",(Datos!K9-Datos!U9)/Datos!U9,(Datos!K9+Datos!AA9-(Datos!U9+Datos!AI9))/(Datos!U9+Datos!AI9))," - ")</f>
        <v>0.12084257206208426</v>
      </c>
      <c r="E9" s="472">
        <f>IF(ISNUMBER(
   IF(J_V="SI",(Datos!L9-Datos!V9)/Datos!V9,(Datos!L9+Datos!AB9-(Datos!V9+Datos!AJ9))/(Datos!V9+Datos!AJ9))
     ),IF(J_V="SI",(Datos!L9-Datos!V9)/Datos!V9,(Datos!L9+Datos!AB9-(Datos!V9+Datos!AJ9))/(Datos!V9+Datos!AJ9))," - ")</f>
        <v>0.40771955539269572</v>
      </c>
      <c r="F9" s="472">
        <f>IF(ISNUMBER((Datos!M9-Datos!W9)/Datos!W9),(Datos!M9-Datos!W9)/Datos!W9," - ")</f>
        <v>-3.8107752956636008E-2</v>
      </c>
      <c r="G9" s="473">
        <f>IF(ISNUMBER((Datos!N9-Datos!X9)/Datos!X9),(Datos!N9-Datos!X9)/Datos!X9," - ")</f>
        <v>0.27678160919540229</v>
      </c>
      <c r="H9" s="471">
        <f>IF(ISNUMBER(((NºAsuntos!G9/NºAsuntos!E9)-Datos!BD9)/Datos!BD9),((NºAsuntos!G9/NºAsuntos!E9)-Datos!BD9)/Datos!BD9," - ")</f>
        <v>-0.14124333491711552</v>
      </c>
      <c r="I9" s="472">
        <f>IF(ISNUMBER(((NºAsuntos!I9/NºAsuntos!G9)-Datos!BE9)/Datos!BE9),((NºAsuntos!I9/NºAsuntos!G9)-Datos!BE9)/Datos!BE9," - ")</f>
        <v>0.25594761519704423</v>
      </c>
      <c r="J9" s="477">
        <f>IF(ISNUMBER((('Resol  Asuntos'!D9/NºAsuntos!G9)-Datos!BF9)/Datos!BF9),(('Resol  Asuntos'!D9/NºAsuntos!G9)-Datos!BF9)/Datos!BF9," - ")</f>
        <v>-0.39946655752242571</v>
      </c>
      <c r="K9" s="478">
        <f>IF(ISNUMBER((((NºAsuntos!C9+NºAsuntos!E9)/NºAsuntos!G9)-Datos!BG9)/Datos!BG9),(((NºAsuntos!C9+NºAsuntos!E9)/NºAsuntos!G9)-Datos!BG9)/Datos!BG9," - ")</f>
        <v>0.18032413697552305</v>
      </c>
    </row>
    <row r="10" spans="1:11">
      <c r="A10" s="413" t="str">
        <f>Datos!A10</f>
        <v>Jdos. Violencia contra la mujer</v>
      </c>
      <c r="B10" s="471">
        <f>IF(ISNUMBER((Datos!I10-Datos!S10)/Datos!S10),(Datos!I10-Datos!S10)/Datos!S10," - ")</f>
        <v>1</v>
      </c>
      <c r="C10" s="472">
        <f>IF(ISNUMBER((Datos!J10-Datos!T10)/Datos!T10),(Datos!J10-Datos!T10)/Datos!T10," - ")</f>
        <v>0.44329896907216493</v>
      </c>
      <c r="D10" s="472">
        <f>IF(ISNUMBER((Datos!K10-Datos!U10)/Datos!U10),(Datos!K10-Datos!U10)/Datos!U10," - ")</f>
        <v>0.3</v>
      </c>
      <c r="E10" s="472">
        <f>IF(ISNUMBER((Datos!L10-Datos!V10)/Datos!V10),(Datos!L10-Datos!V10)/Datos!V10," - ")</f>
        <v>1.143939393939394</v>
      </c>
      <c r="F10" s="472">
        <f>IF(ISNUMBER((Datos!M10-Datos!W10)/Datos!W10),(Datos!M10-Datos!W10)/Datos!W10," - ")</f>
        <v>0.41935483870967744</v>
      </c>
      <c r="G10" s="473">
        <f>IF(ISNUMBER((Datos!N10-Datos!X10)/Datos!X10),(Datos!N10-Datos!X10)/Datos!X10," - ")</f>
        <v>-0.11764705882352941</v>
      </c>
      <c r="H10" s="471">
        <f>IF(ISNUMBER(((NºAsuntos!G10/NºAsuntos!E10)-Datos!BD10)/Datos!BD10),((NºAsuntos!G10/NºAsuntos!E10)-Datos!BD10)/Datos!BD10," - ")</f>
        <v>-9.9285714285714283E-2</v>
      </c>
      <c r="I10" s="472">
        <f>IF(ISNUMBER(((NºAsuntos!I10/NºAsuntos!G10)-Datos!BE10)/Datos!BE10),((NºAsuntos!I10/NºAsuntos!G10)-Datos!BE10)/Datos!BE10," - ")</f>
        <v>0.64918414918414924</v>
      </c>
      <c r="J10" s="477">
        <f>IF(ISNUMBER((('Resol  Asuntos'!D10/NºAsuntos!G10)-Datos!BF10)/Datos!BF10),(('Resol  Asuntos'!D10/NºAsuntos!G10)-Datos!BF10)/Datos!BF10," - ")</f>
        <v>9.1811414392059545E-2</v>
      </c>
      <c r="K10" s="478">
        <f>IF(ISNUMBER((((NºAsuntos!C10+NºAsuntos!E10)/NºAsuntos!G10)-Datos!BG10)/Datos!BG10),(((NºAsuntos!C10+NºAsuntos!E10)/NºAsuntos!G10)-Datos!BG10)/Datos!BG10," - ")</f>
        <v>0.35547272111148759</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6.1754385964912284E-2</v>
      </c>
      <c r="C11" s="472">
        <f>IF(ISNUMBER(
   IF(J_V="SI",(Datos!J11-Datos!T11)/Datos!T11,(Datos!J11+Datos!Z11-(Datos!T11+Datos!AH11))/(Datos!T11+Datos!AH11))
     ),IF(J_V="SI",(Datos!J11-Datos!T11)/Datos!T11,(Datos!J11+Datos!Z11-(Datos!T11+Datos!AH11))/(Datos!T11+Datos!AH11))," - ")</f>
        <v>-4.9504950495049507E-2</v>
      </c>
      <c r="D11" s="472">
        <f>IF(ISNUMBER(
   IF(J_V="SI",(Datos!K11-Datos!U11)/Datos!U11,(Datos!K11+Datos!AA11-(Datos!U11+Datos!AI11))/(Datos!U11+Datos!AI11))
     ),IF(J_V="SI",(Datos!K11-Datos!U11)/Datos!U11,(Datos!K11+Datos!AA11-(Datos!U11+Datos!AI11))/(Datos!U11+Datos!AI11))," - ")</f>
        <v>-8.6956521739130432E-2</v>
      </c>
      <c r="E11" s="472">
        <f>IF(ISNUMBER(
   IF(J_V="SI",(Datos!L11-Datos!V11)/Datos!V11,(Datos!L11+Datos!AB11-(Datos!V11+Datos!AJ11))/(Datos!V11+Datos!AJ11))
     ),IF(J_V="SI",(Datos!L11-Datos!V11)/Datos!V11,(Datos!L11+Datos!AB11-(Datos!V11+Datos!AJ11))/(Datos!V11+Datos!AJ11))," - ")</f>
        <v>9.4408133623819904E-2</v>
      </c>
      <c r="F11" s="472">
        <f>IF(ISNUMBER((Datos!M11-Datos!W11)/Datos!W11),(Datos!M11-Datos!W11)/Datos!W11," - ")</f>
        <v>-3.6363636363636362E-2</v>
      </c>
      <c r="G11" s="473">
        <f>IF(ISNUMBER((Datos!N11-Datos!X11)/Datos!X11),(Datos!N11-Datos!X11)/Datos!X11," - ")</f>
        <v>-8.3798882681564241E-2</v>
      </c>
      <c r="H11" s="471">
        <f>IF(ISNUMBER(((NºAsuntos!G11/NºAsuntos!E11)-Datos!BD11)/Datos!BD11),((NºAsuntos!G11/NºAsuntos!E11)-Datos!BD11)/Datos!BD11," - ")</f>
        <v>-3.9402173913043431E-2</v>
      </c>
      <c r="I11" s="472">
        <f>IF(ISNUMBER(((NºAsuntos!I11/NºAsuntos!G11)-Datos!BE11)/Datos!BE11),((NºAsuntos!I11/NºAsuntos!G11)-Datos!BE11)/Datos!BE11," - ")</f>
        <v>0.19863747968323128</v>
      </c>
      <c r="J11" s="477">
        <f>IF(ISNUMBER((('Resol  Asuntos'!D11/NºAsuntos!G11)-Datos!BF11)/Datos!BF11),(('Resol  Asuntos'!D11/NºAsuntos!G11)-Datos!BF11)/Datos!BF11," - ")</f>
        <v>0.13500931098696453</v>
      </c>
      <c r="K11" s="478">
        <f>IF(ISNUMBER((((NºAsuntos!C11+NºAsuntos!E11)/NºAsuntos!G11)-Datos!BG11)/Datos!BG11),(((NºAsuntos!C11+NºAsuntos!E11)/NºAsuntos!G11)-Datos!BG11)/Datos!BG11," - ")</f>
        <v>0.11233010658061991</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0.31405559256343485</v>
      </c>
      <c r="C13" s="1001">
        <f>IF(ISNUMBER(
   IF(J_V="SI",(Datos!J13-Datos!T13)/Datos!T13,(Datos!J13+Datos!Z13-(Datos!T13+Datos!AH13))/(Datos!T13+Datos!AH13))
     ),IF(J_V="SI",(Datos!J13-Datos!T13)/Datos!T13,(Datos!J13+Datos!Z13-(Datos!T13+Datos!AH13))/(Datos!T13+Datos!AH13))," - ")</f>
        <v>0.26613816534541335</v>
      </c>
      <c r="D13" s="1001">
        <f>IF(ISNUMBER(
   IF(J_V="SI",(Datos!K13-Datos!U13)/Datos!U13,(Datos!K13+Datos!AA13-(Datos!U13+Datos!AI13))/(Datos!U13+Datos!AI13))
     ),IF(J_V="SI",(Datos!K13-Datos!U13)/Datos!U13,(Datos!K13+Datos!AA13-(Datos!U13+Datos!AI13))/(Datos!U13+Datos!AI13))," - ")</f>
        <v>9.3540605735727686E-2</v>
      </c>
      <c r="E13" s="1001">
        <f>IF(ISNUMBER(
   IF(J_V="SI",(Datos!L13-Datos!V13)/Datos!V13,(Datos!L13+Datos!AB13-(Datos!V13+Datos!AJ13))/(Datos!V13+Datos!AJ13))
     ),IF(J_V="SI",(Datos!L13-Datos!V13)/Datos!V13,(Datos!L13+Datos!AB13-(Datos!V13+Datos!AJ13))/(Datos!V13+Datos!AJ13))," - ")</f>
        <v>0.389028686462003</v>
      </c>
      <c r="F13" s="1002">
        <f>IF(ISNUMBER((Datos!M13-Datos!W13)/Datos!W13),(Datos!M13-Datos!W13)/Datos!W13," - ")</f>
        <v>-3.04437564499484E-2</v>
      </c>
      <c r="G13" s="1003">
        <f>IF(ISNUMBER((Datos!N13-Datos!X13)/Datos!X13),(Datos!N13-Datos!X13)/Datos!X13," - ")</f>
        <v>0.21904024767801858</v>
      </c>
      <c r="H13" s="1003">
        <f>IF(ISNUMBER(((NºAsuntos!G13/NºAsuntos!E13)-Datos!BD13)/Datos!BD13),((NºAsuntos!G13/NºAsuntos!E13)-Datos!BD13)/Datos!BD13," - ")</f>
        <v>-0.1363181083500469</v>
      </c>
      <c r="I13" s="1003">
        <f>IF(ISNUMBER(((NºAsuntos!I13/NºAsuntos!G13)-Datos!BE13)/Datos!BE13),((NºAsuntos!I13/NºAsuntos!G13)-Datos!BE13)/Datos!BE13," - ")</f>
        <v>0.27021226205630705</v>
      </c>
      <c r="J13" s="1003">
        <f>IF(ISNUMBER((('Resol  Asuntos'!D13/NºAsuntos!G13)-Datos!BF13)/Datos!BF13),(('Resol  Asuntos'!D13/NºAsuntos!G13)-Datos!BF13)/Datos!BF13," - ")</f>
        <v>-0.32984718653452022</v>
      </c>
      <c r="K13" s="1003">
        <f>IF(ISNUMBER((((NºAsuntos!C13+NºAsuntos!E13)/NºAsuntos!G13)-Datos!BG13)/Datos!BG13),(((NºAsuntos!C13+NºAsuntos!E13)/NºAsuntos!G13)-Datos!BG13)/Datos!BG13," - ")</f>
        <v>0.18638504231744382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0.25238095238095237</v>
      </c>
      <c r="C15" s="472">
        <f>IF(ISNUMBER(
   IF(D_I="SI",(Datos!J15-Datos!T15)/Datos!T15,(Datos!J15+Datos!AD15-(Datos!T15+Datos!AL15))/(Datos!T15+Datos!AL15))
     ),IF(D_I="SI",(Datos!J15-Datos!T15)/Datos!T15,(Datos!J15+Datos!AD15-(Datos!T15+Datos!AL15))/(Datos!T15+Datos!AL15))," - ")</f>
        <v>3.4341314509205379E-3</v>
      </c>
      <c r="D15" s="472">
        <f>IF(ISNUMBER(
   IF(D_I="SI",(Datos!K15-Datos!U15)/Datos!U15,(Datos!K15+Datos!AE15-(Datos!U15+Datos!AM15))/(Datos!U15+Datos!AM15))
     ),IF(D_I="SI",(Datos!K15-Datos!U15)/Datos!U15,(Datos!K15+Datos!AE15-(Datos!U15+Datos!AM15))/(Datos!U15+Datos!AM15))," - ")</f>
        <v>1.743775829049491E-2</v>
      </c>
      <c r="E15" s="472">
        <f>IF(ISNUMBER(
   IF(D_I="SI",(Datos!L15-Datos!V15)/Datos!V15,(Datos!L15+Datos!AF15-(Datos!V15+Datos!AN15))/(Datos!V15+Datos!AN15))
     ),IF(D_I="SI",(Datos!L15-Datos!V15)/Datos!V15,(Datos!L15+Datos!AF15-(Datos!V15+Datos!AN15))/(Datos!V15+Datos!AN15))," - ")</f>
        <v>0.20374948496085701</v>
      </c>
      <c r="F15" s="472">
        <f>IF(ISNUMBER((Datos!M15-Datos!W15)/Datos!W15),(Datos!M15-Datos!W15)/Datos!W15," - ")</f>
        <v>-3.5582822085889573E-2</v>
      </c>
      <c r="G15" s="473">
        <f>IF(ISNUMBER((Datos!N15-Datos!X15)/Datos!X15),(Datos!N15-Datos!X15)/Datos!X15," - ")</f>
        <v>1.5733778891673628E-2</v>
      </c>
      <c r="H15" s="471">
        <f>IF(ISNUMBER(((NºAsuntos!G15/NºAsuntos!E15)-Datos!BD15)/Datos!BD15),((NºAsuntos!G15/NºAsuntos!E15)-Datos!BD15)/Datos!BD15," - ")</f>
        <v>1.3955701127413062E-2</v>
      </c>
      <c r="I15" s="472">
        <f>IF(ISNUMBER(((NºAsuntos!I15/NºAsuntos!G15)-Datos!BE15)/Datos!BE15),((NºAsuntos!I15/NºAsuntos!G15)-Datos!BE15)/Datos!BE15," - ")</f>
        <v>0.18311854966283556</v>
      </c>
      <c r="J15" s="477">
        <f>IF(ISNUMBER((('Resol  Asuntos'!D15/NºAsuntos!G15)-Datos!BF15)/Datos!BF15),(('Resol  Asuntos'!D15/NºAsuntos!G15)-Datos!BF15)/Datos!BF15," - ")</f>
        <v>-5.2111866248673415E-2</v>
      </c>
      <c r="K15" s="478">
        <f>IF(ISNUMBER((((NºAsuntos!C15+NºAsuntos!E15)/NºAsuntos!G15)-Datos!BG15)/Datos!BG15),(((NºAsuntos!C15+NºAsuntos!E15)/NºAsuntos!G15)-Datos!BG15)/Datos!BG15," - ")</f>
        <v>5.6225933758595109E-2</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0.23056300268096513</v>
      </c>
      <c r="C17" s="472">
        <f>IF(ISNUMBER(
   IF(D_I="SI",(Datos!J17-Datos!T17)/Datos!T17,(Datos!J17+Datos!AD17-(Datos!T17+Datos!AL17))/(Datos!T17+Datos!AL17))
     ),IF(D_I="SI",(Datos!J17-Datos!T17)/Datos!T17,(Datos!J17+Datos!AD17-(Datos!T17+Datos!AL17))/(Datos!T17+Datos!AL17))," - ")</f>
        <v>0.36536994660564454</v>
      </c>
      <c r="D17" s="472">
        <f>IF(ISNUMBER(
   IF(D_I="SI",(Datos!K17-Datos!U17)/Datos!U17,(Datos!K17+Datos!AE17-(Datos!U17+Datos!AM17))/(Datos!U17+Datos!AM17))
     ),IF(D_I="SI",(Datos!K17-Datos!U17)/Datos!U17,(Datos!K17+Datos!AE17-(Datos!U17+Datos!AM17))/(Datos!U17+Datos!AM17))," - ")</f>
        <v>0.40282685512367489</v>
      </c>
      <c r="E17" s="472">
        <f>IF(ISNUMBER(
   IF(D_I="SI",(Datos!L17-Datos!V17)/Datos!V17,(Datos!L17+Datos!AF17-(Datos!V17+Datos!AN17))/(Datos!V17+Datos!AN17))
     ),IF(D_I="SI",(Datos!L17-Datos!V17)/Datos!V17,(Datos!L17+Datos!AF17-(Datos!V17+Datos!AN17))/(Datos!V17+Datos!AN17))," - ")</f>
        <v>0.20577617328519857</v>
      </c>
      <c r="F17" s="472">
        <f>IF(ISNUMBER((Datos!M17-Datos!W17)/Datos!W17),(Datos!M17-Datos!W17)/Datos!W17," - ")</f>
        <v>0.3783783783783784</v>
      </c>
      <c r="G17" s="473">
        <f>IF(ISNUMBER((Datos!N17-Datos!X17)/Datos!X17),(Datos!N17-Datos!X17)/Datos!X17," - ")</f>
        <v>9.1420534458509145E-2</v>
      </c>
      <c r="H17" s="471">
        <f>IF(ISNUMBER(((NºAsuntos!G17/NºAsuntos!E17)-Datos!BD17)/Datos!BD17),((NºAsuntos!G17/NºAsuntos!E17)-Datos!BD17)/Datos!BD17," - ")</f>
        <v>2.7433523501194258E-2</v>
      </c>
      <c r="I17" s="472">
        <f>IF(ISNUMBER(((NºAsuntos!I17/NºAsuntos!G17)-Datos!BE17)/Datos!BE17),((NºAsuntos!I17/NºAsuntos!G17)-Datos!BE17)/Datos!BE17," - ")</f>
        <v>-0.14046685884203725</v>
      </c>
      <c r="J17" s="477">
        <f>IF(ISNUMBER((('Resol  Asuntos'!D17/NºAsuntos!G17)-Datos!BF17)/Datos!BF17),(('Resol  Asuntos'!D17/NºAsuntos!G17)-Datos!BF17)/Datos!BF17," - ")</f>
        <v>-1.7428007352440579E-2</v>
      </c>
      <c r="K17" s="478">
        <f>IF(ISNUMBER((((NºAsuntos!C17+NºAsuntos!E17)/NºAsuntos!G17)-Datos!BG17)/Datos!BG17),(((NºAsuntos!C17+NºAsuntos!E17)/NºAsuntos!G17)-Datos!BG17)/Datos!BG17," - ")</f>
        <v>-4.7986083273003459E-2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0.25060135578394926</v>
      </c>
      <c r="C18" s="1001">
        <f>IF(ISNUMBER(
   IF(Criterios!B14="SI",(Datos!J18-Datos!T18)/Datos!T18,(Datos!J18+Datos!AD18-(Datos!T18+Datos!AL18))/(Datos!T18+Datos!AL18))
     ),IF(Criterios!B14="SI",(Datos!J18-Datos!T18)/Datos!T18,(Datos!J18+Datos!AD18-(Datos!T18+Datos!AL18))/(Datos!T18+Datos!AL18))," - ")</f>
        <v>4.3666270985246738E-2</v>
      </c>
      <c r="D18" s="1001">
        <f>IF(ISNUMBER(
   IF(Criterios!B14="SI",(Datos!K18-Datos!U18)/Datos!U18,(Datos!K18+Datos!AE18-(Datos!U18+Datos!AM18))/(Datos!U18+Datos!AM18))
     ),IF(Criterios!B14="SI",(Datos!K18-Datos!U18)/Datos!U18,(Datos!K18+Datos!AE18-(Datos!U18+Datos!AM18))/(Datos!U18+Datos!AM18))," - ")</f>
        <v>5.6907626888627522E-2</v>
      </c>
      <c r="E18" s="1001">
        <f>IF(ISNUMBER(
   IF(Criterios!B14="SI",(Datos!L18-Datos!V18)/Datos!V18,(Datos!L18+Datos!AF18-(Datos!V18+Datos!AN18))/(Datos!V18+Datos!AN18))
     ),IF(Criterios!B14="SI",(Datos!L18-Datos!V18)/Datos!V18,(Datos!L18+Datos!AF18-(Datos!V18+Datos!AN18))/(Datos!V18+Datos!AN18))," - ")</f>
        <v>0.20395710059171598</v>
      </c>
      <c r="F18" s="1002">
        <f>IF(ISNUMBER((Datos!M18-Datos!W18)/Datos!W18),(Datos!M18-Datos!W18)/Datos!W18," - ")</f>
        <v>1.4038876889848811E-2</v>
      </c>
      <c r="G18" s="1003">
        <f>IF(ISNUMBER((Datos!N18-Datos!X18)/Datos!X18),(Datos!N18-Datos!X18)/Datos!X18," - ")</f>
        <v>2.255162802483213E-2</v>
      </c>
      <c r="H18" s="1003">
        <f>IF(ISNUMBER(((NºAsuntos!G18/NºAsuntos!E18)-Datos!BD18)/Datos!BD18),((NºAsuntos!G18/NºAsuntos!E18)-Datos!BD18)/Datos!BD18," - ")</f>
        <v>1.2687346780767892E-2</v>
      </c>
      <c r="I18" s="1003">
        <f>IF(ISNUMBER(((NºAsuntos!I18/NºAsuntos!G18)-Datos!BE18)/Datos!BE18),((NºAsuntos!I18/NºAsuntos!G18)-Datos!BE18)/Datos!BE18," - ")</f>
        <v>0.1391318124328228</v>
      </c>
      <c r="J18" s="1003">
        <f>IF(ISNUMBER((('Resol  Asuntos'!D18/NºAsuntos!G18)-Datos!BF18)/Datos!BF18),(('Resol  Asuntos'!D18/NºAsuntos!G18)-Datos!BF18)/Datos!BF18," - ")</f>
        <v>-4.0560545603193034E-2</v>
      </c>
      <c r="K18" s="1003">
        <f>IF(ISNUMBER((((NºAsuntos!C18+NºAsuntos!E18)/NºAsuntos!G18)-Datos!BG18)/Datos!BG18),(((NºAsuntos!C18+NºAsuntos!E18)/NºAsuntos!G18)-Datos!BG18)/Datos!BG18," - ")</f>
        <v>4.2176881678234655E-2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0.30029403395617943</v>
      </c>
      <c r="C19" s="948">
        <f>IF(ISNUMBER(
   IF(J_V="SI",(Datos!J19-Datos!T19)/Datos!T19,(Datos!J19+Datos!Z19-(Datos!T19+Datos!AH19))/(Datos!T19+Datos!AH19))
     ),IF(J_V="SI",(Datos!J19-Datos!T19)/Datos!T19,(Datos!J19+Datos!Z19-(Datos!T19+Datos!AH19))/(Datos!T19+Datos!AH19))," - ")</f>
        <v>0.13891582622187743</v>
      </c>
      <c r="D19" s="948">
        <f>IF(ISNUMBER(
   IF(J_V="SI",(Datos!K19-Datos!U19)/Datos!U19,(Datos!K19+Datos!AA19-(Datos!U19+Datos!AI19))/(Datos!U19+Datos!AI19))
     ),IF(J_V="SI",(Datos!K19-Datos!U19)/Datos!U19,(Datos!K19+Datos!AA19-(Datos!U19+Datos!AI19))/(Datos!U19+Datos!AI19))," - ")</f>
        <v>7.1671617607345389E-2</v>
      </c>
      <c r="E19" s="948">
        <f>IF(ISNUMBER(
   IF(J_V="SI",(Datos!L19-Datos!V19)/Datos!V19,(Datos!L19+Datos!AB19-(Datos!V19+Datos!AJ19))/(Datos!V19+Datos!AJ19))
     ),IF(J_V="SI",(Datos!L19-Datos!V19)/Datos!V19,(Datos!L19+Datos!AB19-(Datos!V19+Datos!AJ19))/(Datos!V19+Datos!AJ19))," - ")</f>
        <v>0.34605641664162123</v>
      </c>
      <c r="F19" s="949">
        <f>IF(ISNUMBER((Datos!M19-Datos!W19)/Datos!W19),(Datos!M19-Datos!W19)/Datos!W19," - ")</f>
        <v>-1.6061452513966481E-2</v>
      </c>
      <c r="G19" s="950">
        <f>IF(ISNUMBER((Datos!N19-Datos!X19)/Datos!X19),(Datos!N19-Datos!X19)/Datos!X19," - ")</f>
        <v>7.1012694473608862E-2</v>
      </c>
      <c r="H19" s="951">
        <f>IF(ISNUMBER((Tasas!B19-Datos!BD19)/Datos!BD19),(Tasas!B19-Datos!BD19)/Datos!BD19," - ")</f>
        <v>-5.9042298883141428E-2</v>
      </c>
      <c r="I19" s="952">
        <f>IF(ISNUMBER((Tasas!C19-Datos!BE19)/Datos!BE19),(Tasas!C19-Datos!BE19)/Datos!BE19," - ")</f>
        <v>0.25603439946172835</v>
      </c>
      <c r="J19" s="953">
        <f>IF(ISNUMBER((Tasas!D19-Datos!BF19)/Datos!BF19),(Tasas!D19-Datos!BF19)/Datos!BF19," - ")</f>
        <v>-0.24655104841138978</v>
      </c>
      <c r="K19" s="953">
        <f>IF(ISNUMBER((Tasas!E19-Datos!BG19)/Datos!BG19),(Tasas!E19-Datos!BG19)/Datos!BG19," - ")</f>
        <v>0.13887375695952953</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1slNSRhtov7J2xWdaMUKklmzzqxJLL707McuQEybMF2VIOfA4B3TpnonLQrdC+NERBiKcEFWGsmCon9LPc0TyA==" saltValue="hltI3mlSXCI6swtSD+oLx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ARAGON</v>
      </c>
    </row>
    <row r="3" spans="1:7" ht="19.5">
      <c r="A3" s="452" t="s">
        <v>12</v>
      </c>
      <c r="B3" s="402" t="str">
        <f>Criterios!A10 &amp;"  "&amp;Criterios!B10</f>
        <v>Provincias  ZARAGOZA</v>
      </c>
    </row>
    <row r="4" spans="1:7" ht="11.25" customHeight="1" thickBot="1">
      <c r="B4" s="402" t="str">
        <f>Criterios!A11 &amp;"  "&amp;Criterios!B11</f>
        <v>Resumenes por Partidos Judiciales  ZARAGOZA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0.70208333333333328</v>
      </c>
      <c r="C9" s="459">
        <f>IF(ISNUMBER(NºAsuntos!I9/NºAsuntos!G9),NºAsuntos!I9/NºAsuntos!G9," - ")</f>
        <v>3.2570298148933166</v>
      </c>
      <c r="D9" s="460">
        <f>IF(ISNUMBER('Resol  Asuntos'!D9/NºAsuntos!G9),'Resol  Asuntos'!D9/NºAsuntos!G9," - ")</f>
        <v>0.20686731665960154</v>
      </c>
      <c r="E9" s="461">
        <f>IF(ISNUMBER((NºAsuntos!C9+NºAsuntos!E9)/NºAsuntos!G9),(NºAsuntos!C9+NºAsuntos!E9)/NºAsuntos!G9," - ")</f>
        <v>4.2399321746502752</v>
      </c>
      <c r="G9" s="479"/>
    </row>
    <row r="10" spans="1:7">
      <c r="A10" s="413" t="str">
        <f>Datos!A10</f>
        <v>Jdos. Violencia contra la mujer</v>
      </c>
      <c r="B10" s="458">
        <f>IF(ISNUMBER(NºAsuntos!G10/NºAsuntos!E10),NºAsuntos!G10/NºAsuntos!E10," - ")</f>
        <v>0.83571428571428574</v>
      </c>
      <c r="C10" s="459">
        <f>IF(ISNUMBER(NºAsuntos!I10/NºAsuntos!G10),NºAsuntos!I10/NºAsuntos!G10," - ")</f>
        <v>2.4188034188034186</v>
      </c>
      <c r="D10" s="460">
        <f>IF(ISNUMBER('Resol  Asuntos'!D10/NºAsuntos!G10),'Resol  Asuntos'!D10/NºAsuntos!G10," - ")</f>
        <v>0.37606837606837606</v>
      </c>
      <c r="E10" s="461">
        <f>IF(ISNUMBER((NºAsuntos!C10+NºAsuntos!E10)/NºAsuntos!G10),(NºAsuntos!C10+NºAsuntos!E10)/NºAsuntos!G10," - ")</f>
        <v>3.4188034188034186</v>
      </c>
      <c r="G10" s="479"/>
    </row>
    <row r="11" spans="1:7">
      <c r="A11" s="413" t="str">
        <f>Datos!A11</f>
        <v xml:space="preserve">Jdos. Familia                                   </v>
      </c>
      <c r="B11" s="458">
        <f>IF(ISNUMBER(NºAsuntos!G11/NºAsuntos!E11),NºAsuntos!G11/NºAsuntos!E11," - ")</f>
        <v>1.0062500000000001</v>
      </c>
      <c r="C11" s="459">
        <f>IF(ISNUMBER(NºAsuntos!I11/NºAsuntos!G11),NºAsuntos!I11/NºAsuntos!G11," - ")</f>
        <v>1.5600414078674949</v>
      </c>
      <c r="D11" s="460">
        <f>IF(ISNUMBER('Resol  Asuntos'!D11/NºAsuntos!G11),'Resol  Asuntos'!D11/NºAsuntos!G11," - ")</f>
        <v>0.38405797101449274</v>
      </c>
      <c r="E11" s="461">
        <f>IF(ISNUMBER((NºAsuntos!C11+NºAsuntos!E11)/NºAsuntos!G11),(NºAsuntos!C11+NºAsuntos!E11)/NºAsuntos!G11," - ")</f>
        <v>2.5600414078674949</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0.7298747763864043</v>
      </c>
      <c r="C13" s="1005">
        <f>IF(ISNUMBER(NºAsuntos!I13/NºAsuntos!G13),NºAsuntos!I13/NºAsuntos!G13," - ")</f>
        <v>3.0441176470588234</v>
      </c>
      <c r="D13" s="1006">
        <f>IF(ISNUMBER('Resol  Asuntos'!D13/NºAsuntos!G13),'Resol  Asuntos'!D13/NºAsuntos!G13," - ")</f>
        <v>0.23026960784313724</v>
      </c>
      <c r="E13" s="1007">
        <f>IF(ISNUMBER((NºAsuntos!C13+NºAsuntos!E13)/NºAsuntos!G13),(NºAsuntos!C13+NºAsuntos!E13)/NºAsuntos!G13," - ")</f>
        <v>4.0292892156862745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0.95959691985930218</v>
      </c>
      <c r="C15" s="459">
        <f>IF(ISNUMBER(NºAsuntos!I15/NºAsuntos!G15),NºAsuntos!I15/NºAsuntos!G15," - ")</f>
        <v>0.57885872795720228</v>
      </c>
      <c r="D15" s="460">
        <f>IF(ISNUMBER('Resol  Asuntos'!D15/NºAsuntos!G15),'Resol  Asuntos'!D15/NºAsuntos!G15," - ")</f>
        <v>7.7868040420051521E-2</v>
      </c>
      <c r="E15" s="461">
        <f>IF(ISNUMBER((NºAsuntos!C15+NºAsuntos!E15)/NºAsuntos!G15),(NºAsuntos!C15+NºAsuntos!E15)/NºAsuntos!G15," - ")</f>
        <v>1.5632058648702198</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0.88715083798882677</v>
      </c>
      <c r="C17" s="459">
        <f>IF(ISNUMBER(NºAsuntos!I17/NºAsuntos!G17),NºAsuntos!I17/NºAsuntos!G17," - ")</f>
        <v>0.42065491183879095</v>
      </c>
      <c r="D17" s="460">
        <f>IF(ISNUMBER('Resol  Asuntos'!D17/NºAsuntos!G17),'Resol  Asuntos'!D17/NºAsuntos!G17," - ")</f>
        <v>9.634760705289673E-2</v>
      </c>
      <c r="E17" s="461">
        <f>IF(ISNUMBER((NºAsuntos!C17+NºAsuntos!E17)/NºAsuntos!G17),(NºAsuntos!C17+NºAsuntos!E17)/NºAsuntos!G17," - ")</f>
        <v>1.4162468513853905</v>
      </c>
      <c r="G17" s="479"/>
    </row>
    <row r="18" spans="1:7" ht="14.25" thickTop="1" thickBot="1">
      <c r="A18" s="994" t="str">
        <f>Datos!A18</f>
        <v>TOTAL</v>
      </c>
      <c r="B18" s="1004">
        <f>IF(ISNUMBER(NºAsuntos!G18/NºAsuntos!E18),NºAsuntos!G18/NºAsuntos!E18," - ")</f>
        <v>0.94906166219839139</v>
      </c>
      <c r="C18" s="1005">
        <f>IF(ISNUMBER(NºAsuntos!I18/NºAsuntos!G18),NºAsuntos!I18/NºAsuntos!G18," - ")</f>
        <v>0.55735319294641328</v>
      </c>
      <c r="D18" s="1008">
        <f>IF(ISNUMBER('Resol  Asuntos'!D18/NºAsuntos!G18),'Resol  Asuntos'!D18/NºAsuntos!G18," - ")</f>
        <v>8.0380071905495634E-2</v>
      </c>
      <c r="E18" s="1007">
        <f>IF(ISNUMBER((NºAsuntos!C18+NºAsuntos!E18)/NºAsuntos!G18),(NºAsuntos!C18+NºAsuntos!E18)/NºAsuntos!G18," - ")</f>
        <v>1.5432288991611025</v>
      </c>
      <c r="G18" s="479"/>
    </row>
    <row r="19" spans="1:7" ht="15.75" customHeight="1" thickTop="1" thickBot="1">
      <c r="A19" s="939" t="str">
        <f>Datos!A19</f>
        <v>TOTAL JURISDICCIONES</v>
      </c>
      <c r="B19" s="954">
        <f>IF(ISNUMBER(NºAsuntos!G19/NºAsuntos!E19),NºAsuntos!G19/NºAsuntos!E19," - ")</f>
        <v>0.84473583379454209</v>
      </c>
      <c r="C19" s="955">
        <f>IF(ISNUMBER(NºAsuntos!I19/NºAsuntos!G19),NºAsuntos!I19/NºAsuntos!G19," - ")</f>
        <v>1.5800322548130228</v>
      </c>
      <c r="D19" s="956">
        <f>IF(ISNUMBER('Resol  Asuntos'!D19/NºAsuntos!G19),'Resol  Asuntos'!D19/NºAsuntos!G19," - ")</f>
        <v>0.14202197359137184</v>
      </c>
      <c r="E19" s="957">
        <f>IF(ISNUMBER((NºAsuntos!C19+NºAsuntos!E19)/NºAsuntos!G19),(NºAsuntos!C19+NºAsuntos!E19)/NºAsuntos!G19," - ")</f>
        <v>2.5656183852434231</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KCZWBPf4NPjdnB1fpmsgVDLSUoeopxAOrge1SaZ2SGjcPiVnW5l02OrL0c8cerRYdVX0OhDuLPpWgJhMfyXFrQ==" saltValue="e1D9/X0T3A71Q3hvsm780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ARAGON</v>
      </c>
      <c r="G2" s="339"/>
      <c r="H2" s="338"/>
      <c r="I2" s="338"/>
      <c r="J2" s="338"/>
      <c r="K2" s="338"/>
      <c r="L2" s="338" t="str">
        <f>Criterios!A10 &amp;"  "&amp;Criterios!B10</f>
        <v>Provincias  ZARAGOZA</v>
      </c>
      <c r="N2" s="338" t="str">
        <f>Criterios!A11 &amp;"  "&amp;Criterios!B11</f>
        <v>Resumenes por Partidos Judiciales  ZARAGOZA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18</v>
      </c>
      <c r="B9" s="181" t="s">
        <v>249</v>
      </c>
      <c r="C9" s="164" t="str">
        <f>Datos!A9</f>
        <v xml:space="preserve">Jdos. 1ª Instancia   </v>
      </c>
      <c r="D9" s="164"/>
      <c r="E9" s="1201">
        <f>IF(ISNUMBER(Datos!AQ9),Datos!AQ9," - ")</f>
        <v>18</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1715</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3710</v>
      </c>
      <c r="Y9" s="343">
        <f>SUM(W9:X9)</f>
        <v>3710</v>
      </c>
      <c r="Z9" s="344" t="str">
        <f>IF(ISNUMBER(Datos!CC9),Datos!CC9," - ")</f>
        <v xml:space="preserve"> - </v>
      </c>
      <c r="AA9" s="341" t="str">
        <f>IF(ISNUMBER(IF(J_V="SI",Datos!L9,Datos!L9+Datos!AB9)-IF(Monitorios="SI",Datos!CD9,0)),
                          IF(J_V="SI",Datos!L9,Datos!L9+Datos!AB9)-IF(Monitorios="SI",Datos!CD9,0),
                          " - ")</f>
        <v xml:space="preserve"> - </v>
      </c>
      <c r="AB9" s="343">
        <f>IF(ISNUMBER(Datos!R9),Datos!R9," - ")</f>
        <v>28453</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1464</v>
      </c>
      <c r="AJ9" s="233" t="str">
        <f>IF(ISNUMBER(Datos!BW9),Datos!BW9," - ")</f>
        <v xml:space="preserve"> - </v>
      </c>
      <c r="AK9" s="232" t="str">
        <f>IF(ISNUMBER(Datos!BX9),Datos!BX9," - ")</f>
        <v xml:space="preserve"> - </v>
      </c>
      <c r="AL9" s="247">
        <f>IF(ISNUMBER(NºAsuntos!G9/NºAsuntos!E9),NºAsuntos!G9/NºAsuntos!E9," - ")</f>
        <v>0.70208333333333328</v>
      </c>
      <c r="AM9" s="264">
        <f>IF(ISNUMBER(((NºAsuntos!I9/NºAsuntos!G9)*11)/factor_trimestre),((NºAsuntos!I9/NºAsuntos!G9)*11)/factor_trimestre," - ")</f>
        <v>6.5140596297866331</v>
      </c>
      <c r="AN9" s="248">
        <f>IF(ISNUMBER('Resol  Asuntos'!D9/NºAsuntos!G9),'Resol  Asuntos'!D9/NºAsuntos!G9," - ")</f>
        <v>0.20686731665960154</v>
      </c>
      <c r="AO9" s="249">
        <f>IF(ISNUMBER((NºAsuntos!C9+NºAsuntos!E9)/NºAsuntos!G9),(NºAsuntos!C9+NºAsuntos!E9)/NºAsuntos!G9," - ")</f>
        <v>4.2399321746502752</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3</v>
      </c>
      <c r="B10" s="279" t="s">
        <v>249</v>
      </c>
      <c r="C10" s="7" t="str">
        <f>Datos!A10</f>
        <v>Jdos. Violencia contra la mujer</v>
      </c>
      <c r="D10" s="7"/>
      <c r="E10" s="1201">
        <f>IF(ISNUMBER(Datos!AQ10),Datos!AQ10," - ")</f>
        <v>3</v>
      </c>
      <c r="F10" s="229">
        <f>IF(ISNUMBER(Datos!L10+Datos!K10-Datos!J10-K10),Datos!L10+Datos!K10-Datos!J10-K10," - ")</f>
        <v>260</v>
      </c>
      <c r="G10" s="342">
        <f>IF(ISNUMBER(Datos!I10),Datos!I10," - ")</f>
        <v>260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29</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117</v>
      </c>
      <c r="X10" s="230">
        <f>IF(ISNUMBER(Datos!Q10),Datos!Q10," - ")</f>
        <v>22</v>
      </c>
      <c r="Y10" s="343">
        <f t="shared" ref="Y10:Y12" si="0">SUM(W10:X10)</f>
        <v>139</v>
      </c>
      <c r="Z10" s="344" t="str">
        <f>IF(ISNUMBER(Datos!CC10),Datos!CC10," - ")</f>
        <v xml:space="preserve"> - </v>
      </c>
      <c r="AA10" s="341">
        <f>IF(ISNUMBER(Datos!L10),Datos!L10,"-")</f>
        <v>283</v>
      </c>
      <c r="AB10" s="343">
        <f>IF(ISNUMBER(Datos!R10),Datos!R10," - ")</f>
        <v>288</v>
      </c>
      <c r="AC10" s="343">
        <f t="shared" ref="AC10:AC12" si="1">IF(ISNUMBER(AA10+AB10),AA10+AB10," - ")</f>
        <v>571</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44</v>
      </c>
      <c r="AJ10" s="235" t="str">
        <f>IF(ISNUMBER(Datos!BW10),Datos!BW10," - ")</f>
        <v xml:space="preserve"> - </v>
      </c>
      <c r="AK10" s="236" t="str">
        <f>IF(ISNUMBER(Datos!BX10),Datos!BX10," - ")</f>
        <v xml:space="preserve"> - </v>
      </c>
      <c r="AL10" s="247">
        <f>IF(ISNUMBER(NºAsuntos!G10/NºAsuntos!E10),NºAsuntos!G10/NºAsuntos!E10," - ")</f>
        <v>0.83571428571428574</v>
      </c>
      <c r="AM10" s="264">
        <f>IF(ISNUMBER(((NºAsuntos!I10/NºAsuntos!G10)*11)/factor_trimestre),((NºAsuntos!I10/NºAsuntos!G10)*11)/factor_trimestre," - ")</f>
        <v>4.8376068376068373</v>
      </c>
      <c r="AN10" s="248">
        <f>IF(ISNUMBER('Resol  Asuntos'!D10/NºAsuntos!G10),'Resol  Asuntos'!D10/NºAsuntos!G10," - ")</f>
        <v>0.37606837606837606</v>
      </c>
      <c r="AO10" s="249">
        <f>IF(ISNUMBER((NºAsuntos!C10+NºAsuntos!E10)/NºAsuntos!G10),(NºAsuntos!C10+NºAsuntos!E10)/NºAsuntos!G10," - ")</f>
        <v>3.4188034188034186</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4</v>
      </c>
      <c r="B11" s="279" t="s">
        <v>249</v>
      </c>
      <c r="C11" s="7" t="str">
        <f>Datos!A11</f>
        <v xml:space="preserve">Jdos. Familia                                   </v>
      </c>
      <c r="D11" s="7"/>
      <c r="E11" s="1201">
        <f>IF(ISNUMBER(Datos!AQ11),Datos!AQ11," - ")</f>
        <v>4</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125</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227</v>
      </c>
      <c r="Y11" s="343">
        <f t="shared" si="0"/>
        <v>227</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1518</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371</v>
      </c>
      <c r="AJ11" s="235" t="str">
        <f>IF(ISNUMBER(Datos!BW11),Datos!BW11," - ")</f>
        <v xml:space="preserve"> - </v>
      </c>
      <c r="AK11" s="236" t="str">
        <f>IF(ISNUMBER(Datos!BX11),Datos!BX11," - ")</f>
        <v xml:space="preserve"> - </v>
      </c>
      <c r="AL11" s="247">
        <f>IF(ISNUMBER(NºAsuntos!G11/NºAsuntos!E11),NºAsuntos!G11/NºAsuntos!E11," - ")</f>
        <v>1.0062500000000001</v>
      </c>
      <c r="AM11" s="264">
        <f>IF(ISNUMBER(((NºAsuntos!I11/NºAsuntos!G11)*11)/factor_trimestre),((NºAsuntos!I11/NºAsuntos!G11)*11)/factor_trimestre," - ")</f>
        <v>3.1200828157349894</v>
      </c>
      <c r="AN11" s="248">
        <f>IF(ISNUMBER('Resol  Asuntos'!D11/NºAsuntos!G11),'Resol  Asuntos'!D11/NºAsuntos!G11," - ")</f>
        <v>0.38405797101449274</v>
      </c>
      <c r="AO11" s="249">
        <f>IF(ISNUMBER((NºAsuntos!C11+NºAsuntos!E11)/NºAsuntos!G11),(NºAsuntos!C11+NºAsuntos!E11)/NºAsuntos!G11," - ")</f>
        <v>2.5600414078674949</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25</v>
      </c>
      <c r="F13" s="1011">
        <f t="shared" si="3"/>
        <v>260</v>
      </c>
      <c r="G13" s="1012">
        <f t="shared" si="3"/>
        <v>260</v>
      </c>
      <c r="H13" s="1011">
        <f t="shared" si="3"/>
        <v>0</v>
      </c>
      <c r="I13" s="1013">
        <f t="shared" si="3"/>
        <v>0</v>
      </c>
      <c r="J13" s="1013">
        <f t="shared" si="3"/>
        <v>0</v>
      </c>
      <c r="K13" s="1013">
        <f t="shared" si="3"/>
        <v>0</v>
      </c>
      <c r="L13" s="1013">
        <f t="shared" si="3"/>
        <v>1869</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117</v>
      </c>
      <c r="X13" s="1013">
        <f t="shared" si="4"/>
        <v>3959</v>
      </c>
      <c r="Y13" s="1014">
        <f t="shared" si="4"/>
        <v>4076</v>
      </c>
      <c r="Z13" s="1014">
        <f t="shared" si="4"/>
        <v>0</v>
      </c>
      <c r="AA13" s="1014">
        <f t="shared" si="4"/>
        <v>283</v>
      </c>
      <c r="AB13" s="1014">
        <f t="shared" si="4"/>
        <v>30259</v>
      </c>
      <c r="AC13" s="1014">
        <f t="shared" si="4"/>
        <v>571</v>
      </c>
      <c r="AD13" s="1014">
        <f t="shared" si="4"/>
        <v>0</v>
      </c>
      <c r="AE13" s="1018">
        <f t="shared" si="4"/>
        <v>0</v>
      </c>
      <c r="AF13" s="1011">
        <f t="shared" si="4"/>
        <v>0</v>
      </c>
      <c r="AG13" s="1019">
        <f t="shared" si="4"/>
        <v>0</v>
      </c>
      <c r="AH13" s="1016">
        <f t="shared" si="4"/>
        <v>0</v>
      </c>
      <c r="AI13" s="1011">
        <f t="shared" si="4"/>
        <v>1879</v>
      </c>
      <c r="AJ13" s="1013">
        <f t="shared" si="4"/>
        <v>0</v>
      </c>
      <c r="AK13" s="1016">
        <f>SUBTOTAL(9,AK9:AK12)</f>
        <v>0</v>
      </c>
      <c r="AL13" s="1020">
        <f>IF(ISNUMBER(NºAsuntos!G13/NºAsuntos!E13),NºAsuntos!G13/NºAsuntos!E13," - ")</f>
        <v>0.7298747763864043</v>
      </c>
      <c r="AM13" s="1020">
        <f>IF(ISNUMBER(((NºAsuntos!I13/NºAsuntos!G13)*11)/factor_trimestre),((NºAsuntos!I13/NºAsuntos!G13)*11)/factor_trimestre," - ")</f>
        <v>6.0882352941176467</v>
      </c>
      <c r="AN13" s="1021">
        <f>IF(ISNUMBER('Resol  Asuntos'!D13/NºAsuntos!G13),'Resol  Asuntos'!D13/NºAsuntos!G13," - ")</f>
        <v>0.23026960784313724</v>
      </c>
      <c r="AO13" s="1022">
        <f>IF(ISNUMBER((NºAsuntos!C13+NºAsuntos!E13)/NºAsuntos!G13),(NºAsuntos!C13+NºAsuntos!E13)/NºAsuntos!G13," - ")</f>
        <v>4.0292892156862745</v>
      </c>
      <c r="AP13" s="1023" t="str">
        <f t="shared" si="2"/>
        <v xml:space="preserve"> - </v>
      </c>
      <c r="AQ13" s="1023">
        <f>IF(ISNUMBER((H13-W13+K13)/(F13)),(H13-W13+K13)/(F13)," - ")</f>
        <v>-0.45</v>
      </c>
      <c r="AR13" s="1024">
        <f>IF(ISNUMBER((Datos!P13-Datos!Q13)/(Datos!R13-Datos!P13+Datos!Q13)),(Datos!P13-Datos!Q13)/(Datos!R13-Datos!P13+Datos!Q13)," - ")</f>
        <v>-6.4607870413304888E-2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12</v>
      </c>
      <c r="B15" s="279" t="s">
        <v>400</v>
      </c>
      <c r="C15" s="164" t="str">
        <f>Datos!A15</f>
        <v xml:space="preserve">Jdos. Instrucción                               </v>
      </c>
      <c r="D15" s="164"/>
      <c r="E15" s="1201">
        <f>IF(ISNUMBER(Datos!AQ15),Datos!AQ15," - ")</f>
        <v>12</v>
      </c>
      <c r="F15" s="229">
        <f>IF(ISNUMBER(AA15+W15-Datos!J15-K15),AA15+W15-Datos!J15-K15," - ")</f>
        <v>5418</v>
      </c>
      <c r="G15" s="342">
        <f>IF(ISNUMBER(IF(D_I="SI",Datos!I15,Datos!I15+Datos!AC15)),IF(D_I="SI",Datos!I15,Datos!I15+Datos!AC15)," - ")</f>
        <v>5260</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424</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10094</v>
      </c>
      <c r="X15" s="230">
        <f>IF(ISNUMBER(Datos!Q15),Datos!Q15," - ")</f>
        <v>384</v>
      </c>
      <c r="Y15" s="343">
        <f>SUM(W15)</f>
        <v>10094</v>
      </c>
      <c r="Z15" s="344" t="str">
        <f>IF(ISNUMBER(Datos!CC15),Datos!CC15," - ")</f>
        <v xml:space="preserve"> - </v>
      </c>
      <c r="AA15" s="341">
        <f>IF(ISNUMBER(IF(D_I="SI",Datos!L15,Datos!L15+Datos!AF15)),IF(D_I="SI",Datos!L15,Datos!L15+Datos!AF15)," - ")</f>
        <v>5843</v>
      </c>
      <c r="AB15" s="343">
        <f>IF(ISNUMBER(Datos!R15),Datos!R15," - ")</f>
        <v>1132</v>
      </c>
      <c r="AC15" s="343">
        <f t="shared" ref="AC15:AC17" si="6">IF(ISNUMBER(AA15+AB15),AA15+AB15," - ")</f>
        <v>6975</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786</v>
      </c>
      <c r="AJ15" s="235" t="str">
        <f>IF(ISNUMBER(Datos!BW15),Datos!BW15," - ")</f>
        <v xml:space="preserve"> - </v>
      </c>
      <c r="AK15" s="236" t="str">
        <f>IF(ISNUMBER(Datos!BX15),Datos!BX15," - ")</f>
        <v xml:space="preserve"> - </v>
      </c>
      <c r="AL15" s="247">
        <f>IF(ISNUMBER(NºAsuntos!G15/NºAsuntos!E15),NºAsuntos!G15/NºAsuntos!E15," - ")</f>
        <v>0.95959691985930218</v>
      </c>
      <c r="AM15" s="264">
        <f>IF(ISNUMBER(((NºAsuntos!I15/NºAsuntos!G15)*11)/factor_trimestre),((NºAsuntos!I15/NºAsuntos!G15)*11)/factor_trimestre," - ")</f>
        <v>1.1577174559144046</v>
      </c>
      <c r="AN15" s="248">
        <f>IF(ISNUMBER('Resol  Asuntos'!D15/NºAsuntos!G15),'Resol  Asuntos'!D15/NºAsuntos!G15," - ")</f>
        <v>7.7868040420051521E-2</v>
      </c>
      <c r="AO15" s="249">
        <f>IF(ISNUMBER((NºAsuntos!C15+NºAsuntos!E15)/NºAsuntos!G15),(NºAsuntos!C15+NºAsuntos!E15)/NºAsuntos!G15," - ")</f>
        <v>1.5632058648702198</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3</v>
      </c>
      <c r="B17" s="279" t="s">
        <v>400</v>
      </c>
      <c r="C17" s="7" t="str">
        <f>Datos!A17</f>
        <v>Jdos. Violencia contra la mujer</v>
      </c>
      <c r="D17" s="7"/>
      <c r="E17" s="1201">
        <f>IF(ISNUMBER(Datos!AQ17),Datos!AQ17," - ")</f>
        <v>3</v>
      </c>
      <c r="F17" s="229" t="str">
        <f>IF(ISNUMBER(AA17+W17-H17-K17),AA17+W17-H17-K17," - ")</f>
        <v xml:space="preserve"> - </v>
      </c>
      <c r="G17" s="342">
        <f>IF(ISNUMBER(IF(D_I="SI",Datos!I17,Datos!I17+Datos!AC17)),IF(D_I="SI",Datos!I17,Datos!I17+Datos!AC17)," - ")</f>
        <v>459</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33</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1588</v>
      </c>
      <c r="X17" s="230">
        <f>IF(ISNUMBER(Datos!Q17),Datos!Q17," - ")</f>
        <v>25</v>
      </c>
      <c r="Y17" s="343">
        <f t="shared" si="7"/>
        <v>1613</v>
      </c>
      <c r="Z17" s="344" t="str">
        <f>IF(ISNUMBER(Datos!CC17),Datos!CC17," - ")</f>
        <v xml:space="preserve"> - </v>
      </c>
      <c r="AA17" s="341">
        <f>IF(ISNUMBER(Datos!L17),Datos!L17,"-")</f>
        <v>668</v>
      </c>
      <c r="AB17" s="343">
        <f>IF(ISNUMBER(Datos!R17),Datos!R17," - ")</f>
        <v>68</v>
      </c>
      <c r="AC17" s="343">
        <f t="shared" si="6"/>
        <v>736</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153</v>
      </c>
      <c r="AJ17" s="235" t="str">
        <f>IF(ISNUMBER(Datos!BW17),Datos!BW17," - ")</f>
        <v xml:space="preserve"> - </v>
      </c>
      <c r="AK17" s="236" t="str">
        <f>IF(ISNUMBER(Datos!BX17),Datos!BX17," - ")</f>
        <v xml:space="preserve"> - </v>
      </c>
      <c r="AL17" s="247">
        <f>IF(ISNUMBER(NºAsuntos!G17/NºAsuntos!E17),NºAsuntos!G17/NºAsuntos!E17," - ")</f>
        <v>0.88715083798882677</v>
      </c>
      <c r="AM17" s="264">
        <f>IF(ISNUMBER(((NºAsuntos!I17/NºAsuntos!G17)*11)/factor_trimestre),((NºAsuntos!I17/NºAsuntos!G17)*11)/factor_trimestre," - ")</f>
        <v>0.84130982367758189</v>
      </c>
      <c r="AN17" s="248">
        <f>IF(ISNUMBER('Resol  Asuntos'!D17/NºAsuntos!G17),'Resol  Asuntos'!D17/NºAsuntos!G17," - ")</f>
        <v>9.634760705289673E-2</v>
      </c>
      <c r="AO17" s="249">
        <f>IF(ISNUMBER((NºAsuntos!C17+NºAsuntos!E17)/NºAsuntos!G17),(NºAsuntos!C17+NºAsuntos!E17)/NºAsuntos!G17," - ")</f>
        <v>1.4162468513853905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15</v>
      </c>
      <c r="F18" s="1011">
        <f>SUBTOTAL(9,F14:F17)</f>
        <v>5418</v>
      </c>
      <c r="G18" s="1012">
        <f>SUBTOTAL(9,G15:G17)</f>
        <v>5719</v>
      </c>
      <c r="H18" s="1011">
        <f t="shared" ref="H18:O18" si="10">SUBTOTAL(9,H14:H17)</f>
        <v>0</v>
      </c>
      <c r="I18" s="1013">
        <f t="shared" si="10"/>
        <v>0</v>
      </c>
      <c r="J18" s="1013">
        <f t="shared" si="10"/>
        <v>0</v>
      </c>
      <c r="K18" s="1013">
        <f t="shared" si="10"/>
        <v>0</v>
      </c>
      <c r="L18" s="1013">
        <f t="shared" si="10"/>
        <v>457</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11682</v>
      </c>
      <c r="X18" s="1013">
        <f t="shared" si="11"/>
        <v>409</v>
      </c>
      <c r="Y18" s="1014">
        <f t="shared" si="11"/>
        <v>11707</v>
      </c>
      <c r="Z18" s="1014">
        <f t="shared" si="11"/>
        <v>0</v>
      </c>
      <c r="AA18" s="1014">
        <f t="shared" si="11"/>
        <v>6511</v>
      </c>
      <c r="AB18" s="1014">
        <f t="shared" si="11"/>
        <v>1200</v>
      </c>
      <c r="AC18" s="1014">
        <f t="shared" si="11"/>
        <v>7711</v>
      </c>
      <c r="AD18" s="1014">
        <f t="shared" si="11"/>
        <v>0</v>
      </c>
      <c r="AE18" s="1018">
        <f t="shared" si="11"/>
        <v>0</v>
      </c>
      <c r="AF18" s="1011">
        <f t="shared" si="11"/>
        <v>0</v>
      </c>
      <c r="AG18" s="1019">
        <f t="shared" si="11"/>
        <v>0</v>
      </c>
      <c r="AH18" s="1016">
        <f t="shared" si="11"/>
        <v>0</v>
      </c>
      <c r="AI18" s="1011">
        <f t="shared" si="11"/>
        <v>939</v>
      </c>
      <c r="AJ18" s="1013">
        <f t="shared" si="11"/>
        <v>0</v>
      </c>
      <c r="AK18" s="1016">
        <f t="shared" si="11"/>
        <v>0</v>
      </c>
      <c r="AL18" s="1020">
        <f>IF(ISNUMBER(NºAsuntos!G18/NºAsuntos!E18),NºAsuntos!G18/NºAsuntos!E18," - ")</f>
        <v>0.94906166219839139</v>
      </c>
      <c r="AM18" s="1020">
        <f>IF(ISNUMBER(((NºAsuntos!I18/NºAsuntos!G18)*11)/factor_trimestre),((NºAsuntos!I18/NºAsuntos!G18)*11)/factor_trimestre," - ")</f>
        <v>1.1147063858928266</v>
      </c>
      <c r="AN18" s="1021">
        <f>IF(ISNUMBER('Resol  Asuntos'!D18/NºAsuntos!G18),'Resol  Asuntos'!D18/NºAsuntos!G18," - ")</f>
        <v>8.0380071905495634E-2</v>
      </c>
      <c r="AO18" s="1022">
        <f>IF(ISNUMBER((NºAsuntos!C18+NºAsuntos!E18)/NºAsuntos!G18),(NºAsuntos!C18+NºAsuntos!E18)/NºAsuntos!G18," - ")</f>
        <v>1.5432288991611025</v>
      </c>
      <c r="AP18" s="1023" t="str">
        <f t="shared" si="2"/>
        <v xml:space="preserve"> - </v>
      </c>
      <c r="AQ18" s="1023">
        <f>IF(ISNUMBER((H18-W18+K18)/(F18)),(H18-W18+K18)/(F18)," - ")</f>
        <v>-2.1561461794019934</v>
      </c>
      <c r="AR18" s="1024">
        <f>IF(ISNUMBER((Datos!P18-Datos!Q18)/(Datos!R18-Datos!P18+Datos!Q18)),(Datos!P18-Datos!Q18)/(Datos!R18-Datos!P18+Datos!Q18)," - ")</f>
        <v>4.1666666666666664E-2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40</v>
      </c>
      <c r="F19" s="966">
        <f t="shared" si="13"/>
        <v>5678</v>
      </c>
      <c r="G19" s="967">
        <f t="shared" si="13"/>
        <v>5979</v>
      </c>
      <c r="H19" s="966">
        <f t="shared" si="13"/>
        <v>0</v>
      </c>
      <c r="I19" s="968">
        <f t="shared" si="13"/>
        <v>0</v>
      </c>
      <c r="J19" s="968">
        <f t="shared" si="13"/>
        <v>0</v>
      </c>
      <c r="K19" s="1027">
        <f t="shared" si="13"/>
        <v>0</v>
      </c>
      <c r="L19" s="968">
        <f t="shared" si="13"/>
        <v>2326</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11799</v>
      </c>
      <c r="X19" s="967">
        <f t="shared" si="14"/>
        <v>4368</v>
      </c>
      <c r="Y19" s="974">
        <f t="shared" si="14"/>
        <v>15783</v>
      </c>
      <c r="Z19" s="974">
        <f t="shared" si="14"/>
        <v>0</v>
      </c>
      <c r="AA19" s="974">
        <f t="shared" si="14"/>
        <v>6794</v>
      </c>
      <c r="AB19" s="974">
        <f t="shared" si="14"/>
        <v>31459</v>
      </c>
      <c r="AC19" s="974">
        <f t="shared" si="14"/>
        <v>8282</v>
      </c>
      <c r="AD19" s="974">
        <f t="shared" si="14"/>
        <v>0</v>
      </c>
      <c r="AE19" s="976">
        <f t="shared" si="14"/>
        <v>0</v>
      </c>
      <c r="AF19" s="977">
        <f t="shared" si="14"/>
        <v>0</v>
      </c>
      <c r="AG19" s="978">
        <f t="shared" si="14"/>
        <v>0</v>
      </c>
      <c r="AH19" s="976">
        <f t="shared" si="14"/>
        <v>0</v>
      </c>
      <c r="AI19" s="966">
        <f t="shared" si="14"/>
        <v>2818</v>
      </c>
      <c r="AJ19" s="966">
        <f t="shared" si="14"/>
        <v>0</v>
      </c>
      <c r="AK19" s="976">
        <f t="shared" si="14"/>
        <v>0</v>
      </c>
      <c r="AL19" s="1030">
        <f>IF(ISNUMBER(NºAsuntos!G19/NºAsuntos!E19),NºAsuntos!G19/NºAsuntos!E19," - ")</f>
        <v>0.84473583379454209</v>
      </c>
      <c r="AM19" s="1031">
        <f>IF(ISNUMBER(((NºAsuntos!I19/NºAsuntos!G19)*11)/factor_trimestre),((NºAsuntos!I19/NºAsuntos!G19)*11)/factor_trimestre," - ")</f>
        <v>3.160064509626046</v>
      </c>
      <c r="AN19" s="1031">
        <f>IF(ISNUMBER('Resol  Asuntos'!D19/NºAsuntos!G19),'Resol  Asuntos'!D19/NºAsuntos!G19," - ")</f>
        <v>0.14202197359137184</v>
      </c>
      <c r="AO19" s="1032">
        <f>IF(ISNUMBER((NºAsuntos!C19+NºAsuntos!E19)/NºAsuntos!G19),(NºAsuntos!C19+NºAsuntos!E19)/NºAsuntos!G19," - ")</f>
        <v>2.5656183852434231</v>
      </c>
      <c r="AP19" s="1033" t="str">
        <f t="shared" si="2"/>
        <v xml:space="preserve"> - </v>
      </c>
      <c r="AQ19" s="1034">
        <f>IF(OR(ISNUMBER(FIND("01",Criterios!A8,1)),ISNUMBER(FIND("02",Criterios!A8,1)),ISNUMBER(FIND("03",Criterios!A8,1)),ISNUMBER(FIND("04",Criterios!A8,1))),(I19-W19+K19)/(F19-K19),(H19-W19+K19)/(F19-K19))</f>
        <v>-2.0780204297287779</v>
      </c>
      <c r="AR19" s="1035">
        <f>IF(ISNUMBER((Datos!P19-Datos!Q19)/(Datos!R19-Datos!P19+Datos!Q19)),(Datos!P19-Datos!Q19)/(Datos!R19-Datos!P19+Datos!Q19)," - ")</f>
        <v>-6.0953404375988778E-2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2391.6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8.9504810547317017</v>
      </c>
      <c r="F21" s="256">
        <f>IF(ISNUMBER(STDEV(F8:F18)),STDEV(F8:F18),"-")</f>
        <v>2977.9726884800898</v>
      </c>
      <c r="G21" s="257">
        <f>IF(ISNUMBER(STDEV(G8:G18)),STDEV(G8:G18),"-")</f>
        <v>2833.7999752981859</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5690.6493741927206</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682.9659407250673</v>
      </c>
      <c r="AJ21" s="256">
        <f t="shared" si="18"/>
        <v>0</v>
      </c>
      <c r="AK21" s="258">
        <f t="shared" si="18"/>
        <v>0</v>
      </c>
      <c r="AL21" s="253">
        <f t="shared" si="18"/>
        <v>0.116964722636096</v>
      </c>
      <c r="AM21" s="254">
        <f t="shared" si="18"/>
        <v>2.4448605481016563</v>
      </c>
      <c r="AN21" s="254">
        <f t="shared" si="18"/>
        <v>0.13255538885741269</v>
      </c>
      <c r="AO21" s="255">
        <f t="shared" si="18"/>
        <v>1.2213874301290073</v>
      </c>
      <c r="AP21" s="295" t="str">
        <f t="shared" si="18"/>
        <v>-</v>
      </c>
      <c r="AQ21" s="296">
        <f t="shared" si="18"/>
        <v>1.2064275331506691</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0KLe/F7CBXNNOhSX4I5PM3JGheyGIdTQKZJp7oCxcKcFTYj4oLMK3dLOCqMT48bMjCH93PXuiqKvApRzlvB1Tg==" saltValue="GEOdsbVyRlZDw5RQtjMx1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ARAGON</v>
      </c>
      <c r="E2" s="267"/>
    </row>
    <row r="3" spans="2:20" ht="17.25" customHeight="1">
      <c r="C3" s="271"/>
      <c r="D3" s="266" t="str">
        <f>Criterios!A10 &amp;"  "&amp;Criterios!B10</f>
        <v>Provincias  ZARAGOZA</v>
      </c>
      <c r="E3" s="267"/>
    </row>
    <row r="4" spans="2:20" ht="17.25" customHeight="1" thickBot="1">
      <c r="D4" s="266" t="str">
        <f>Criterios!A11 &amp;"  "&amp;Criterios!B11</f>
        <v>Resumenes por Partidos Judiciales  ZARAGOZA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-3.8107752956636008E-2</v>
      </c>
      <c r="I9" s="359">
        <f>IF(ISNUMBER((Tasas!C9-Datos!BE9)/Datos!BE9),(Tasas!C9-Datos!BE9)/Datos!BE9," - ")</f>
        <v>0.25594761519704423</v>
      </c>
      <c r="J9" s="358">
        <f>IF(ISNUMBER((Tasas!D9-Datos!BF9)/Datos!BF9),(Tasas!D9-Datos!BF9)/Datos!BF9," - ")</f>
        <v>-0.39946655752242571</v>
      </c>
      <c r="K9" s="360">
        <f>IF(ISNUMBER((Tasas!E9-Datos!BG9)/Datos!BG9),(Tasas!E9-Datos!BG9)/Datos!BG9," - ")</f>
        <v>0.18032413697552305</v>
      </c>
      <c r="M9" t="e">
        <f>IF(Monitorios="SI",Datos!CE9,0)</f>
        <v>#REF!</v>
      </c>
      <c r="N9" t="e">
        <f>IF(Monitorios="SI",Datos!CF9,0)</f>
        <v>#REF!</v>
      </c>
      <c r="O9" t="e">
        <f>IF(Monitorios="SI",Datos!CG9,0)</f>
        <v>#REF!</v>
      </c>
      <c r="P9" t="e">
        <f>IF(Monitorios="SI",Datos!CH9,0)</f>
        <v>#REF!</v>
      </c>
      <c r="Q9">
        <f>IF(J_V="SI",0,Datos!AG9)</f>
        <v>416</v>
      </c>
      <c r="R9">
        <f>IF(J_V="SI",0,Datos!AH9)</f>
        <v>587</v>
      </c>
      <c r="S9">
        <f>IF(J_V="SI",0,Datos!AI9)</f>
        <v>560</v>
      </c>
      <c r="T9">
        <f>IF(J_V="SI",0,Datos!AJ9)</f>
        <v>443</v>
      </c>
    </row>
    <row r="10" spans="2:20" ht="14.25">
      <c r="B10" s="279" t="s">
        <v>249</v>
      </c>
      <c r="C10" s="7" t="str">
        <f>Datos!A10</f>
        <v>Jdos. Violencia contra la mujer</v>
      </c>
      <c r="D10" s="361">
        <f>IF(ISNUMBER((Datos!I10-Datos!S10)/Datos!S10),(Datos!I10-Datos!S10)/Datos!S10," - ")</f>
        <v>1</v>
      </c>
      <c r="E10" s="357">
        <f>IF(ISNUMBER((Datos!J10-Datos!T10)/Datos!T10),(Datos!J10-Datos!T10)/Datos!T10," - ")</f>
        <v>0.44329896907216493</v>
      </c>
      <c r="F10" s="357">
        <f>IF(ISNUMBER((Datos!K10-Datos!U10)/Datos!U10),(Datos!K10-Datos!U10)/Datos!U10," - ")</f>
        <v>0.3</v>
      </c>
      <c r="G10" s="358">
        <f>IF(ISNUMBER((Datos!L10-Datos!V10)/Datos!V10),(Datos!L10-Datos!V10)/Datos!V10," - ")</f>
        <v>1.143939393939394</v>
      </c>
      <c r="H10" s="234">
        <f>IF(ISNUMBER((Datos!M10-Datos!W10)/Datos!W10),(Datos!M10-Datos!W10)/Datos!W10," - ")</f>
        <v>0.41935483870967744</v>
      </c>
      <c r="I10" s="359">
        <f>IF(ISNUMBER((Tasas!C10-Datos!BE10)/Datos!BE10),(Tasas!C10-Datos!BE10)/Datos!BE10," - ")</f>
        <v>0.64918414918414924</v>
      </c>
      <c r="J10" s="358">
        <f>IF(ISNUMBER((Tasas!D10-Datos!BF10)/Datos!BF10),(Tasas!D10-Datos!BF10)/Datos!BF10," - ")</f>
        <v>9.1811414392059545E-2</v>
      </c>
      <c r="K10" s="360">
        <f>IF(ISNUMBER((Tasas!E10-Datos!BG10)/Datos!BG10),(Tasas!E10-Datos!BG10)/Datos!BG10," - ")</f>
        <v>0.35547272111148759</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-3.6363636363636362E-2</v>
      </c>
      <c r="I11" s="359">
        <f>IF(ISNUMBER((Tasas!C11-Datos!BE11)/Datos!BE11),(Tasas!C11-Datos!BE11)/Datos!BE11," - ")</f>
        <v>0.19863747968323128</v>
      </c>
      <c r="J11" s="358">
        <f>IF(ISNUMBER((Tasas!D11-Datos!BF11)/Datos!BF11),(Tasas!D11-Datos!BF11)/Datos!BF11," - ")</f>
        <v>0.13500931098696453</v>
      </c>
      <c r="K11" s="360">
        <f>IF(ISNUMBER((Tasas!E11-Datos!BG11)/Datos!BG11),(Tasas!E11-Datos!BG11)/Datos!BG11," - ")</f>
        <v>0.11233010658061991</v>
      </c>
      <c r="M11" t="e">
        <f>IF(Monitorios="SI",Datos!CE11,0)</f>
        <v>#REF!</v>
      </c>
      <c r="N11" t="e">
        <f>IF(Monitorios="SI",Datos!CF11,0)</f>
        <v>#REF!</v>
      </c>
      <c r="O11" t="e">
        <f>IF(Monitorios="SI",Datos!CG11,0)</f>
        <v>#REF!</v>
      </c>
      <c r="P11" t="e">
        <f>IF(Monitorios="SI",Datos!CH11,0)</f>
        <v>#REF!</v>
      </c>
      <c r="Q11">
        <f>IF(J_V="SI",0,Datos!AG11)</f>
        <v>102</v>
      </c>
      <c r="R11">
        <f>IF(J_V="SI",0,Datos!AH11)</f>
        <v>197</v>
      </c>
      <c r="S11">
        <f>IF(J_V="SI",0,Datos!AI11)</f>
        <v>205</v>
      </c>
      <c r="T11">
        <f>IF(J_V="SI",0,Datos!AJ11)</f>
        <v>94</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-3.04437564499484E-2</v>
      </c>
      <c r="I13" s="366">
        <f>IF(ISNUMBER((Tasas!C13-Datos!BE13)/Datos!BE13),(Tasas!C13-Datos!BE13)/Datos!BE13," - ")</f>
        <v>0.27021226205630705</v>
      </c>
      <c r="J13" s="364">
        <f>IF(ISNUMBER((Tasas!D13-Datos!BF13)/Datos!BF13),(Tasas!D13-Datos!BF13)/Datos!BF13," - ")</f>
        <v>-0.32984718653452022</v>
      </c>
      <c r="K13" s="367">
        <f>IF(ISNUMBER((Tasas!E13-Datos!BG13)/Datos!BG13),(Tasas!E13-Datos!BG13)/Datos!BG13," - ")</f>
        <v>0.18638504231744382</v>
      </c>
      <c r="M13" t="e">
        <f>IF(Monitorios="SI",Datos!CE13,0)</f>
        <v>#REF!</v>
      </c>
      <c r="N13" t="e">
        <f>IF(Monitorios="SI",Datos!CF13,0)</f>
        <v>#REF!</v>
      </c>
      <c r="O13" t="e">
        <f>IF(Monitorios="SI",Datos!CG13,0)</f>
        <v>#REF!</v>
      </c>
      <c r="P13" t="e">
        <f>IF(Monitorios="SI",Datos!CH13,0)</f>
        <v>#REF!</v>
      </c>
      <c r="Q13">
        <f>IF(J_V="SI",0,Datos!AG13)</f>
        <v>518</v>
      </c>
      <c r="R13">
        <f>IF(J_V="SI",0,Datos!AH13)</f>
        <v>784</v>
      </c>
      <c r="S13">
        <f>IF(J_V="SI",0,Datos!AI13)</f>
        <v>765</v>
      </c>
      <c r="T13">
        <f>IF(J_V="SI",0,Datos!AJ13)</f>
        <v>537</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0.25238095238095237</v>
      </c>
      <c r="E15" s="357">
        <f>IF(ISNUMBER(
   IF(D_I="SI",(Datos!J15-Datos!T15)/Datos!T15,(Datos!J15+Datos!AD15-(Datos!T15+Datos!AL15))/(Datos!T15+Datos!AL15))
     ),IF(D_I="SI",(Datos!J15-Datos!T15)/Datos!T15,(Datos!J15+Datos!AD15-(Datos!T15+Datos!AL15))/(Datos!T15+Datos!AL15))," - ")</f>
        <v>3.4341314509205379E-3</v>
      </c>
      <c r="F15" s="357">
        <f>IF(ISNUMBER(
   IF(D_I="SI",(Datos!K15-Datos!U15)/Datos!U15,(Datos!K15+Datos!AE15-(Datos!U15+Datos!AM15))/(Datos!U15+Datos!AM15))
     ),IF(D_I="SI",(Datos!K15-Datos!U15)/Datos!U15,(Datos!K15+Datos!AE15-(Datos!U15+Datos!AM15))/(Datos!U15+Datos!AM15))," - ")</f>
        <v>1.743775829049491E-2</v>
      </c>
      <c r="G15" s="358">
        <f>IF(ISNUMBER(
   IF(D_I="SI",(Datos!L15-Datos!V15)/Datos!V15,(Datos!L15+Datos!AF15-(Datos!V15+Datos!AN15))/(Datos!V15+Datos!AN15))
     ),IF(D_I="SI",(Datos!L15-Datos!V15)/Datos!V15,(Datos!L15+Datos!AF15-(Datos!V15+Datos!AN15))/(Datos!V15+Datos!AN15))," - ")</f>
        <v>0.20374948496085701</v>
      </c>
      <c r="H15" s="234">
        <f>IF(ISNUMBER((Datos!M15-Datos!W15)/Datos!W15),(Datos!M15-Datos!W15)/Datos!W15," - ")</f>
        <v>-3.5582822085889573E-2</v>
      </c>
      <c r="I15" s="359">
        <f>IF(ISNUMBER((Tasas!C15-Datos!BE15)/Datos!BE15),(Tasas!C15-Datos!BE15)/Datos!BE15," - ")</f>
        <v>0.18311854966283556</v>
      </c>
      <c r="J15" s="358">
        <f>IF(ISNUMBER((Tasas!D15-Datos!BF15)/Datos!BF15),(Tasas!D15-Datos!BF15)/Datos!BF15," - ")</f>
        <v>-5.2111866248673415E-2</v>
      </c>
      <c r="K15" s="360">
        <f>IF(ISNUMBER((Tasas!E15-Datos!BG15)/Datos!BG15),(Tasas!E15-Datos!BG15)/Datos!BG15," - ")</f>
        <v>5.6225933758595109E-2</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0.23056300268096513</v>
      </c>
      <c r="E17" s="357">
        <f>IF(ISNUMBER(
   IF(D_I="SI",(Datos!J17-Datos!T17)/Datos!T17,(Datos!J17+Datos!AD17-(Datos!T17+Datos!AL17))/(Datos!T17+Datos!AL17))
     ),IF(D_I="SI",(Datos!J17-Datos!T17)/Datos!T17,(Datos!J17+Datos!AD17-(Datos!T17+Datos!AL17))/(Datos!T17+Datos!AL17))," - ")</f>
        <v>0.36536994660564454</v>
      </c>
      <c r="F17" s="357">
        <f>IF(ISNUMBER(
   IF(D_I="SI",(Datos!K17-Datos!U17)/Datos!U17,(Datos!K17+Datos!AE17-(Datos!U17+Datos!AM17))/(Datos!U17+Datos!AM17))
     ),IF(D_I="SI",(Datos!K17-Datos!U17)/Datos!U17,(Datos!K17+Datos!AE17-(Datos!U17+Datos!AM17))/(Datos!U17+Datos!AM17))," - ")</f>
        <v>0.40282685512367489</v>
      </c>
      <c r="G17" s="358">
        <f>IF(ISNUMBER(
   IF(D_I="SI",(Datos!L17-Datos!V17)/Datos!V17,(Datos!L17+Datos!AF17-(Datos!V17+Datos!AN17))/(Datos!V17+Datos!AN17))
     ),IF(D_I="SI",(Datos!L17-Datos!V17)/Datos!V17,(Datos!L17+Datos!AF17-(Datos!V17+Datos!AN17))/(Datos!V17+Datos!AN17))," - ")</f>
        <v>0.20577617328519857</v>
      </c>
      <c r="H17" s="234">
        <f>IF(ISNUMBER((Datos!M17-Datos!W17)/Datos!W17),(Datos!M17-Datos!W17)/Datos!W17," - ")</f>
        <v>0.3783783783783784</v>
      </c>
      <c r="I17" s="359">
        <f>IF(ISNUMBER((Tasas!C17-Datos!BE17)/Datos!BE17),(Tasas!C17-Datos!BE17)/Datos!BE17," - ")</f>
        <v>-0.14046685884203725</v>
      </c>
      <c r="J17" s="358">
        <f>IF(ISNUMBER((Tasas!D17-Datos!BF17)/Datos!BF17),(Tasas!D17-Datos!BF17)/Datos!BF17," - ")</f>
        <v>-1.7428007352440579E-2</v>
      </c>
      <c r="K17" s="360">
        <f>IF(ISNUMBER((Tasas!E17-Datos!BG17)/Datos!BG17),(Tasas!E17-Datos!BG17)/Datos!BG17," - ")</f>
        <v>-4.7986083273003459E-2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0.25060135578394926</v>
      </c>
      <c r="E18" s="363">
        <f>IF(ISNUMBER(
   IF(D_I="SI",(Datos!J18-Datos!T18)/Datos!T18,(Datos!J18+Datos!AD18-(Datos!T18+Datos!AL18))/(Datos!T18+Datos!AL18))
     ),IF(D_I="SI",(Datos!J18-Datos!T18)/Datos!T18,(Datos!J18+Datos!AD18-(Datos!T18+Datos!AL18))/(Datos!T18+Datos!AL18))," - ")</f>
        <v>4.3666270985246738E-2</v>
      </c>
      <c r="F18" s="363">
        <f>IF(ISNUMBER(
   IF(D_I="SI",(Datos!K18-Datos!U18)/Datos!U18,(Datos!K18+Datos!AE18-(Datos!U18+Datos!AM18))/(Datos!U18+Datos!AM18))
     ),IF(D_I="SI",(Datos!K18-Datos!U18)/Datos!U18,(Datos!K18+Datos!AE18-(Datos!U18+Datos!AM18))/(Datos!U18+Datos!AM18))," - ")</f>
        <v>5.6907626888627522E-2</v>
      </c>
      <c r="G18" s="364">
        <f>IF(ISNUMBER(
   IF(D_I="SI",(Datos!L18-Datos!V18)/Datos!V18,(Datos!L18+Datos!AF18-(Datos!V18+Datos!AN18))/(Datos!V18+Datos!AN18))
     ),IF(D_I="SI",(Datos!L18-Datos!V18)/Datos!V18,(Datos!L18+Datos!AF18-(Datos!V18+Datos!AN18))/(Datos!V18+Datos!AN18))," - ")</f>
        <v>0.20395710059171598</v>
      </c>
      <c r="H18" s="365">
        <f>IF(ISNUMBER((Datos!M18-Datos!W18)/Datos!W18),(Datos!M18-Datos!W18)/Datos!W18," - ")</f>
        <v>1.4038876889848811E-2</v>
      </c>
      <c r="I18" s="366">
        <f>IF(ISNUMBER((Tasas!C18-Datos!BE18)/Datos!BE18),(Tasas!C18-Datos!BE18)/Datos!BE18," - ")</f>
        <v>0.1391318124328228</v>
      </c>
      <c r="J18" s="364">
        <f>IF(ISNUMBER((Tasas!D18-Datos!BF18)/Datos!BF18),(Tasas!D18-Datos!BF18)/Datos!BF18," - ")</f>
        <v>-4.0560545603193034E-2</v>
      </c>
      <c r="K18" s="367">
        <f>IF(ISNUMBER((Tasas!E18-Datos!BG18)/Datos!BG18),(Tasas!E18-Datos!BG18)/Datos!BG18," - ")</f>
        <v>4.2176881678234655E-2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0.30029403395617943</v>
      </c>
      <c r="E19" s="372">
        <f>IF(ISNUMBER(
   IF(J_V="SI",(Datos!J19-Datos!T19)/Datos!T19,(Datos!J19+Datos!Z19-(Datos!T19+Datos!AH19))/(Datos!T19+Datos!AH19))
     ),IF(J_V="SI",(Datos!J19-Datos!T19)/Datos!T19,(Datos!J19+Datos!Z19-(Datos!T19+Datos!AH19))/(Datos!T19+Datos!AH19))," - ")</f>
        <v>0.13891582622187743</v>
      </c>
      <c r="F19" s="372">
        <f>IF(ISNUMBER(
   IF(J_V="SI",(Datos!K19-Datos!U19)/Datos!U19,(Datos!K19+Datos!AA19-(Datos!U19+Datos!AI19))/(Datos!U19+Datos!AI19))
     ),IF(J_V="SI",(Datos!K19-Datos!U19)/Datos!U19,(Datos!K19+Datos!AA19-(Datos!U19+Datos!AI19))/(Datos!U19+Datos!AI19))," - ")</f>
        <v>7.1671617607345389E-2</v>
      </c>
      <c r="G19" s="373">
        <f>IF(ISNUMBER(
   IF(J_V="SI",(Datos!L19-Datos!V19)/Datos!V19,(Datos!L19+Datos!AB19-(Datos!V19+Datos!AJ19))/(Datos!V19+Datos!AJ19))
     ),IF(J_V="SI",(Datos!L19-Datos!V19)/Datos!V19,(Datos!L19+Datos!AB19-(Datos!V19+Datos!AJ19))/(Datos!V19+Datos!AJ19))," - ")</f>
        <v>0.34605641664162123</v>
      </c>
      <c r="H19" s="374">
        <f>IF(ISNUMBER((Datos!M19-Datos!W19)/Datos!W19),(Datos!M19-Datos!W19)/Datos!W19," - ")</f>
        <v>-1.6061452513966481E-2</v>
      </c>
      <c r="I19" s="371">
        <f>IF(ISNUMBER((Tasas!C19-Datos!BE19)/Datos!BE19),(Tasas!C19-Datos!BE19)/Datos!BE19," - ")</f>
        <v>0.25603439946172835</v>
      </c>
      <c r="J19" s="372">
        <f>IF(ISNUMBER((Tasas!D19-Datos!BF19)/Datos!BF19),(Tasas!D19-Datos!BF19)/Datos!BF19," - ")</f>
        <v>-0.24655104841138978</v>
      </c>
      <c r="K19" s="373">
        <f>IF(ISNUMBER((Tasas!E19-Datos!BG19)/Datos!BG19),(Tasas!E19-Datos!BG19)/Datos!BG19," - ")</f>
        <v>0.13887375695952953</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0.37787195655927747</v>
      </c>
      <c r="E21" s="282">
        <f t="shared" si="1"/>
        <v>0.22274232413809444</v>
      </c>
      <c r="F21" s="282">
        <f t="shared" si="1"/>
        <v>0.18691607372187646</v>
      </c>
      <c r="G21" s="283">
        <f t="shared" si="1"/>
        <v>0.46972345276553945</v>
      </c>
      <c r="H21" s="289">
        <f t="shared" si="1"/>
        <v>0.2080947440355686</v>
      </c>
      <c r="I21" s="281">
        <f t="shared" si="1"/>
        <v>0.23319149851314008</v>
      </c>
      <c r="J21" s="282">
        <f t="shared" si="1"/>
        <v>0.20251912828858187</v>
      </c>
      <c r="K21" s="283">
        <f t="shared" si="1"/>
        <v>0.13013245061151316</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S1D+FT3s0MhAUWQjgtTL9vXYhKYTplauY52iPaNaiI4bEJUrgFHfWgvFnLZmY4iNDk5Z6hN3tLlL4iuS0xP8+Q==" saltValue="yAMdqFGPUe9vrs9pSPHqw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2023-11-29T06:34:28Z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